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060" windowHeight="5340" activeTab="0"/>
  </bookViews>
  <sheets>
    <sheet name="Du toan Chi (2)" sheetId="1" r:id="rId1"/>
    <sheet name="Du toan Thu (1)" sheetId="2" r:id="rId2"/>
    <sheet name="Bo sung huyen (3)" sheetId="3" r:id="rId3"/>
    <sheet name="TONG HOP DU TOAN CHI NAM (4" sheetId="4" r:id="rId4"/>
  </sheets>
  <externalReferences>
    <externalReference r:id="rId7"/>
  </externalReferences>
  <definedNames>
    <definedName name="_Fill" hidden="1">#REF!</definedName>
    <definedName name="_xlnm.Print_Titles" localSheetId="2">'Bo sung huyen (3)'!$8:$12</definedName>
    <definedName name="_xlnm.Print_Titles" localSheetId="0">'Du toan Chi (2)'!$6:$10</definedName>
    <definedName name="_xlnm.Print_Titles" localSheetId="1">'Du toan Thu (1)'!$7:$10</definedName>
    <definedName name="_xlnm.Print_Titles" localSheetId="3">'TONG HOP DU TOAN CHI NAM (4'!$5:$6</definedName>
  </definedNames>
  <calcPr fullCalcOnLoad="1"/>
</workbook>
</file>

<file path=xl/sharedStrings.xml><?xml version="1.0" encoding="utf-8"?>
<sst xmlns="http://schemas.openxmlformats.org/spreadsheetml/2006/main" count="380" uniqueCount="322">
  <si>
    <t>TỈNH BÌNH PHƯỚC</t>
  </si>
  <si>
    <t>Nội dung</t>
  </si>
  <si>
    <t>Trong đó</t>
  </si>
  <si>
    <t>Khối tỉnh</t>
  </si>
  <si>
    <t>Khối huyện</t>
  </si>
  <si>
    <t>Đồng Xoài</t>
  </si>
  <si>
    <t>Đồng Phú</t>
  </si>
  <si>
    <t>Phước Long</t>
  </si>
  <si>
    <t>Lộc Ninh</t>
  </si>
  <si>
    <t>Bù Đốp</t>
  </si>
  <si>
    <t>Bù Đăng</t>
  </si>
  <si>
    <t>Bình Long</t>
  </si>
  <si>
    <t>Chơn Thành</t>
  </si>
  <si>
    <t>Tổng thu NSNN trên địa bàn</t>
  </si>
  <si>
    <t>A. Tổng các khoản thu cân đối NSNN</t>
  </si>
  <si>
    <t>I. Thu từ sản xuất kinh doanh trong nước</t>
  </si>
  <si>
    <t xml:space="preserve">1. Thu từ doanh nghiệp Nhà nước Trung ương </t>
  </si>
  <si>
    <t>- Thuế giá trị gia tăng</t>
  </si>
  <si>
    <t>- Thuế thu nhập doanh nghiệp</t>
  </si>
  <si>
    <t>- Thuế TTĐB hàng hoá, dịch vụ trong nước</t>
  </si>
  <si>
    <t>- Thuế tài nguyên</t>
  </si>
  <si>
    <t>- Thuế môn bài</t>
  </si>
  <si>
    <t xml:space="preserve">2. Thu từ doanh nghiệp Nhà nước địa phương </t>
  </si>
  <si>
    <t>3. Thu từ doanh nghiệp có vốn đầu tư nước ngoài</t>
  </si>
  <si>
    <t>- Tiền thuê mặt đất, mặt nước</t>
  </si>
  <si>
    <t>- Thuế chuyển thu nhập ra nước ngoài</t>
  </si>
  <si>
    <t>- Các khoản thu về dầu khí</t>
  </si>
  <si>
    <t>- Các khoản thu khác</t>
  </si>
  <si>
    <t>- Thu khác ngoài quốc doanh</t>
  </si>
  <si>
    <t>5. Lệ phí trước bạ</t>
  </si>
  <si>
    <t>6. Thuế sử dụng đất nông nghiệp</t>
  </si>
  <si>
    <t>7. Thuế nhà đất</t>
  </si>
  <si>
    <t>8. Thuế thu nhập cá nhân</t>
  </si>
  <si>
    <t xml:space="preserve">- Phí và lệ phí Trung ương </t>
  </si>
  <si>
    <t>- Phí và lệ phí địa phương</t>
  </si>
  <si>
    <t>II. Thuế XK, thuế NK, thuế TTĐB, thuế VAT hàng nhập khẩu do Hải quan thu</t>
  </si>
  <si>
    <t>Tr.đó: + Thuế XK, NK, TTĐB</t>
  </si>
  <si>
    <t>III. Thu viện trợ</t>
  </si>
  <si>
    <t>IV. Thu huy động đầu tư xây dựng cơ sở hạ tầng theo khoản 3 điều 8 Luật ngân sách Nhà nước</t>
  </si>
  <si>
    <t>B. Các khoản thu được để lại chi quản lý qua NSNN</t>
  </si>
  <si>
    <t>Tổng thu NSĐP</t>
  </si>
  <si>
    <t>Tr.đó: + Các khoản thu 100%</t>
  </si>
  <si>
    <t>- Thu bổ sung từ ngân sách cấp trên</t>
  </si>
  <si>
    <t>Tr.đó: + Bổ sung cân đối</t>
  </si>
  <si>
    <t xml:space="preserve">           + Bổ sung có mục tiêu XDCB</t>
  </si>
  <si>
    <t xml:space="preserve">           + Bổ sung có mục tiêu CTMT</t>
  </si>
  <si>
    <t xml:space="preserve">           + Bổ sung có mục tiêu khác</t>
  </si>
  <si>
    <t>- Thu từ Quỹ dự trữ tài chính</t>
  </si>
  <si>
    <t>- Thu từ hỗ trợ của ngân sách tỉnh bạn</t>
  </si>
  <si>
    <t>- Thu từ chuyển nguồn ngân sách năm trước</t>
  </si>
  <si>
    <t>- Thu hồi vốn và thu khác</t>
  </si>
  <si>
    <t>- Các khoản huy động đóng góp</t>
  </si>
  <si>
    <t>A. Chi cân đối NSĐP</t>
  </si>
  <si>
    <t>I. Chi đầu tư phát triển</t>
  </si>
  <si>
    <t>Trong đó:</t>
  </si>
  <si>
    <t>- Chi giáo dục, đào tạo và dạy nghề</t>
  </si>
  <si>
    <t>- Chi khoa học công nghệ</t>
  </si>
  <si>
    <t>1. Chi xây dựng cơ bản tập trung</t>
  </si>
  <si>
    <t>- Theo phân cấp đầu năm</t>
  </si>
  <si>
    <t>- Từ hỗ trợ có mục tiêu của NS cấp trên</t>
  </si>
  <si>
    <t>- Từ nguồn thu tiền sử dụng đất</t>
  </si>
  <si>
    <t>3. Chi đầu tư và hỗ trợ các doanh nghiệp theo chế độ</t>
  </si>
  <si>
    <t>II. Chi thường xuyên</t>
  </si>
  <si>
    <t>1. Chi trợ giá các mặt hàng chính sách</t>
  </si>
  <si>
    <t>2. Chi sự nghiệp kinh tế</t>
  </si>
  <si>
    <t>- Chi sự nghiệp giao thông</t>
  </si>
  <si>
    <t>- Chi sự nghiệp kiến thiết thị chính</t>
  </si>
  <si>
    <t>- Chi sự nghiệp khác</t>
  </si>
  <si>
    <t>3. Chi sự nghiệp giáo dục, đào tạo và dạy nghề</t>
  </si>
  <si>
    <t>- Chi sự nghiệp giáo dục</t>
  </si>
  <si>
    <t>- Chi sự nghiệp đào tạo và dạy nghề</t>
  </si>
  <si>
    <t>4. Chi sự nghiệp y tế</t>
  </si>
  <si>
    <t>7. Chi sự nghiệp phát thanh truyền hình</t>
  </si>
  <si>
    <t>9. Chi đảm bảo xã hội</t>
  </si>
  <si>
    <t>10. Chi quản lý hành chính</t>
  </si>
  <si>
    <t>- Chi quản lý Nhà nước</t>
  </si>
  <si>
    <t>11. Chi an ninh quốc phòng địa phương</t>
  </si>
  <si>
    <t>- Chi giữ gìn an ninh và trật tự an toàn XH</t>
  </si>
  <si>
    <t>- Chi quốc phòng địa phương</t>
  </si>
  <si>
    <t>12. Chi khác ngân sách</t>
  </si>
  <si>
    <t>IV. Chi lập hoặc bổ sung quỹ dự trữ tài chính</t>
  </si>
  <si>
    <t xml:space="preserve">V. Chi Chương trình mục tiêu </t>
  </si>
  <si>
    <t>VI. Chi chuyển nguồn ngân sách năm sau</t>
  </si>
  <si>
    <t>VII. Dự phòng</t>
  </si>
  <si>
    <t>B. Các khoản chi được quản lý qua NSNN</t>
  </si>
  <si>
    <t>XDCB</t>
  </si>
  <si>
    <t>Tổng chi NSĐP</t>
  </si>
  <si>
    <t>5. Chi sự nghiệp khoa học và công nghệ</t>
  </si>
  <si>
    <t>SỐ BỔ SUNG TỪ NGÂN SÁCH CẤP TỈNH</t>
  </si>
  <si>
    <t>CHO NGÂN SÁCH CÁC HUYỆN, THỊ THUỘC TỈNH</t>
  </si>
  <si>
    <t>STT</t>
  </si>
  <si>
    <t>Huyện thị thuộc tỉnh</t>
  </si>
  <si>
    <t>Tổng số</t>
  </si>
  <si>
    <t>Bổ sung cân đối</t>
  </si>
  <si>
    <t>Bổ sung có mục tiêu</t>
  </si>
  <si>
    <t>Thị xã Đồng Xoài</t>
  </si>
  <si>
    <t>Huyện Đồng Phú</t>
  </si>
  <si>
    <t>Huyện Phước Long</t>
  </si>
  <si>
    <t>Huyện Lộc Ninh</t>
  </si>
  <si>
    <t>Huyện Bù Đốp</t>
  </si>
  <si>
    <t>Huyện Bù Đăng</t>
  </si>
  <si>
    <t>Huyện Bình Long</t>
  </si>
  <si>
    <t>Huyện Chơn Thành</t>
  </si>
  <si>
    <t>B. Các khoản thu quản lý qua NSNN</t>
  </si>
  <si>
    <t>- Từ nguồn hỗ trợ của tỉnh Bình Dương</t>
  </si>
  <si>
    <t>TOÀN TỈNH</t>
  </si>
  <si>
    <t>10. Thu phí xăng, dầu</t>
  </si>
  <si>
    <t>11. Thu phí và lệ phí</t>
  </si>
  <si>
    <t>16. Thu tiền bán nhà ở thuộc sở hữu Nhà nước</t>
  </si>
  <si>
    <t>17. Thu từ hoa lợi công sản của ngân sách xã</t>
  </si>
  <si>
    <t>- Thu từ sổ số kiến thiết</t>
  </si>
  <si>
    <t>- Học phí</t>
  </si>
  <si>
    <t>- Viện phí</t>
  </si>
  <si>
    <t>- Thu phí lệ phí</t>
  </si>
  <si>
    <t>- Thu khác</t>
  </si>
  <si>
    <t>12. Thuế chuyển quyền sử dụng đất</t>
  </si>
  <si>
    <t>Dự toán năm 2008</t>
  </si>
  <si>
    <t>- Chi hoạt động của hội, đoàn thể</t>
  </si>
  <si>
    <t>- Chi hỗ trợ các tổ chức xã hội</t>
  </si>
  <si>
    <t>13. Tiền sử dụng đất</t>
  </si>
  <si>
    <t>14. Thu tiền cho thuê mặt đất, mặt nước</t>
  </si>
  <si>
    <t xml:space="preserve">15. Thu khác </t>
  </si>
  <si>
    <t>- Thu huy động đầu tư xây dựng cơ sở hạ tầng theo khoản 3 điều 8 Luật NSNN</t>
  </si>
  <si>
    <t>DỰ TOÁN THU NGÂN SÁCH NHÀ NƯỚC NĂM 2009</t>
  </si>
  <si>
    <t>- Thu bổ sung bù tiền lương 540</t>
  </si>
  <si>
    <t>Dự toán năm 2009</t>
  </si>
  <si>
    <t>DỰ TOÁN CHI NGÂN SÁCH ĐỊA PHƯƠNG NĂM 2009</t>
  </si>
  <si>
    <t>CTMT XDCB</t>
  </si>
  <si>
    <t>NĂM 2009</t>
  </si>
  <si>
    <t>BS tăng lương và BS khác</t>
  </si>
  <si>
    <t>(Kèm theo Nghị quyết số 19/2008/NQ-HĐND ngày 10 tháng 12 năm 2008 )</t>
  </si>
  <si>
    <t>Đơn vị tính: triệu đồng</t>
  </si>
  <si>
    <t>a) Vốn trong nước</t>
  </si>
  <si>
    <t>b) Vốn ngoài nước</t>
  </si>
  <si>
    <t>- Chi sự nghiệp nông - lâm - thủy lợi</t>
  </si>
  <si>
    <t>2. Chi đầu tư XD CSHT bằng nguồn vốn huy động đầu tư theo Khoản 3 Điều 8 Luật NSNN</t>
  </si>
  <si>
    <t xml:space="preserve"> Trong đó: - Chi SN môi trường</t>
  </si>
  <si>
    <t xml:space="preserve">                - Chi đo đạc lập cơ sở dữ liệu từ nguồn TSD đất</t>
  </si>
  <si>
    <t xml:space="preserve"> + Trong đó chi tăng lưong theo chế độ mới SNGD - ĐT               (Khối huyện, thị là 10% tiết kiệm SNGD)</t>
  </si>
  <si>
    <t>6. Chi sự nghiệp Văn hóa Du lịch Thể thao</t>
  </si>
  <si>
    <t>- Chi hoạt động của cơ quan Đảng, tổ chức CT - XH</t>
  </si>
  <si>
    <t>III. Chi trả nợ gốc và lãi vay đầu tư XD CSHT theo Khoản 3 Điều 8 Luật NSNN</t>
  </si>
  <si>
    <r>
      <t>VIII. Nguồn chi lương mới (</t>
    </r>
    <r>
      <rPr>
        <b/>
        <sz val="12"/>
        <rFont val="Times New Roman"/>
        <family val="1"/>
      </rPr>
      <t>khối huyện, thị là 10% tiết kiệm chi thường xuyên)</t>
    </r>
    <r>
      <rPr>
        <b/>
        <sz val="12"/>
        <rFont val="Times New Roman"/>
        <family val="1"/>
      </rPr>
      <t>.</t>
    </r>
  </si>
  <si>
    <t>3 = 4 + 5</t>
  </si>
  <si>
    <t>5 = 6 -&gt; 13</t>
  </si>
  <si>
    <t>(Kèm theo Nghị quyết số 19/2008/NQ-HĐND ngày 10 tháng 12 năm 2008)</t>
  </si>
  <si>
    <t>2 = 3 + 4</t>
  </si>
  <si>
    <t>4 = 5 -&gt; 12</t>
  </si>
  <si>
    <t>4. Thu từ khu vực công thg nghiệp - ngoài quốc doanh</t>
  </si>
  <si>
    <t>- Thuế TTĐB hàng hóa, dịch vụ trong nước</t>
  </si>
  <si>
    <t xml:space="preserve">          + Thuế VAT hàng nhập khẩu</t>
  </si>
  <si>
    <t xml:space="preserve">          + Thu phân chia theo tỷ lệ phần trăm (%)</t>
  </si>
  <si>
    <t xml:space="preserve">          + BS vốn XDCB theo phân cấp</t>
  </si>
  <si>
    <t xml:space="preserve">          + Bổ sung có mục tiêu XDCB</t>
  </si>
  <si>
    <t xml:space="preserve">          + Bổ sung có mục tiêu CTMT</t>
  </si>
  <si>
    <t xml:space="preserve">          + Bổ sung có mục tiêu khác</t>
  </si>
  <si>
    <t>- Thu ngân sách địa phương được hưởng</t>
  </si>
  <si>
    <t>3 = 4 + 5 + 6 + 7</t>
  </si>
  <si>
    <t>TỔNG HỢP DỰ TOÁN CHI NGÂN SÁCH NHÀ NƯỚC NĂM 2009</t>
  </si>
  <si>
    <t>KHỐI TỈNH</t>
  </si>
  <si>
    <t>ĐVT: Triệu đồng</t>
  </si>
  <si>
    <t>Tên đơn vị</t>
  </si>
  <si>
    <t>Biên chế</t>
  </si>
  <si>
    <t>Bao gồm:</t>
  </si>
  <si>
    <t>Trong đó, 10% TK chi tăng lương</t>
  </si>
  <si>
    <t>Trong  khoán</t>
  </si>
  <si>
    <t>Ngoài khoán</t>
  </si>
  <si>
    <t>I</t>
  </si>
  <si>
    <t>Chi trợ giá, trợ cước</t>
  </si>
  <si>
    <t>Trung tâm Phát hành phim &amp; Chiếu bóng</t>
  </si>
  <si>
    <t>Báo Bình Phước</t>
  </si>
  <si>
    <t>II</t>
  </si>
  <si>
    <t>Chi sự nghiệp kinh tế</t>
  </si>
  <si>
    <t>II.1</t>
  </si>
  <si>
    <t>Sự nghiệp lâm nghiệp</t>
  </si>
  <si>
    <t>Chi sự nghiệp mang tính chất đầu tư</t>
  </si>
  <si>
    <t>Chi cục Kiểm Lâm</t>
  </si>
  <si>
    <t>Chi cục Phát triển lâm nghiệp</t>
  </si>
  <si>
    <t>II.2</t>
  </si>
  <si>
    <t>Sự nghiệp Nông nghiệp -Thủy lợi</t>
  </si>
  <si>
    <t>Chi sự nghiệp chương trình dự án</t>
  </si>
  <si>
    <t>Chi cục Thú y</t>
  </si>
  <si>
    <t>Chi cục Bảo vệ thực vật</t>
  </si>
  <si>
    <t>Trung tâm Khuyến nông</t>
  </si>
  <si>
    <t>Chi cục Phát triển nông thôn</t>
  </si>
  <si>
    <t>Chi cục Thủy lợi phòng chống lụt bão</t>
  </si>
  <si>
    <t>Trung tâm Thủy sản</t>
  </si>
  <si>
    <t>Sự nghiệp Thủy lợi</t>
  </si>
  <si>
    <t>II.3</t>
  </si>
  <si>
    <t>Sự nghiệp giao thông</t>
  </si>
  <si>
    <t>Ban Thanh tra giao thông</t>
  </si>
  <si>
    <t>Khu quản lý bảo trì đường bộ</t>
  </si>
  <si>
    <t>Chi sự nghiệp giao thông</t>
  </si>
  <si>
    <t>II.4</t>
  </si>
  <si>
    <t>Sự nghiệp kinh tế khác</t>
  </si>
  <si>
    <t>Chi cục Tiêu chuẩn đo lường chất lượng</t>
  </si>
  <si>
    <t>Nhà khách UBND tỉnh</t>
  </si>
  <si>
    <t>Thanh tra Xây dựng</t>
  </si>
  <si>
    <t>Trung tâm quy hoạch và kiểm định xây dựng</t>
  </si>
  <si>
    <t>Trung tâm Phát triển quỹ đất</t>
  </si>
  <si>
    <t>Trung tâm Xúc tiến đầu tư</t>
  </si>
  <si>
    <t>Trung tâm Khuyến công</t>
  </si>
  <si>
    <t>Trung tâm bán đấu giá</t>
  </si>
  <si>
    <t>Phòng Công chứng số 1</t>
  </si>
  <si>
    <t>Xúc tiến thương mại du lịch</t>
  </si>
  <si>
    <t>Sở Tài nguyên và Môi trường</t>
  </si>
  <si>
    <t>Sự nghiệp bảo vệ môi trường (Trong đó Vườn quốc gia BGM: 2.585 tr; Chi cục bảo vệ môi trường: 717 tr)</t>
  </si>
  <si>
    <t>III</t>
  </si>
  <si>
    <t>Sự nghiệp Giáo dục - Đào tạo</t>
  </si>
  <si>
    <t>III.1</t>
  </si>
  <si>
    <t>Sự nghiệp Giáo dục</t>
  </si>
  <si>
    <t>Sở Giáo dục đào tạo</t>
  </si>
  <si>
    <t>Trường dân tộc nội trú</t>
  </si>
  <si>
    <t>Trường chuyên Quang Trung</t>
  </si>
  <si>
    <t>III.2</t>
  </si>
  <si>
    <t>Sự nghiệp Đào tạo</t>
  </si>
  <si>
    <t>Trường Cao đẳng sư phạm</t>
  </si>
  <si>
    <t>Trường Trung học y tế</t>
  </si>
  <si>
    <t>Trường Chính trị</t>
  </si>
  <si>
    <t>Trường Trung cấp nghề Tôn Đức Thắng</t>
  </si>
  <si>
    <t>Đào tạo khác</t>
  </si>
  <si>
    <t>IV</t>
  </si>
  <si>
    <t>Sự nghiệp Y tế</t>
  </si>
  <si>
    <t>Sở Y tế và các đơn vị trực thuộc</t>
  </si>
  <si>
    <t>Bệnh viện Y học cổ truyền</t>
  </si>
  <si>
    <t>Bệnh viện tỉnh</t>
  </si>
  <si>
    <t>Quỹ khám chữa bệnh cho người nghèo</t>
  </si>
  <si>
    <t>Quỹ khám chữa bệnh cho trẻ em dưới 6 tuổi</t>
  </si>
  <si>
    <t>Ban Quản lý dự án nâng cấp y tế dự phòng</t>
  </si>
  <si>
    <t>Ủy ban dân số, gia đình và trẻ em</t>
  </si>
  <si>
    <t>V</t>
  </si>
  <si>
    <t>Sự nghiệp Khoa học công nghệ &amp; MT</t>
  </si>
  <si>
    <t>Sở Khoa học và Công nghệ</t>
  </si>
  <si>
    <t>Sở Tài chính</t>
  </si>
  <si>
    <t>Trung tâm ứng dụng tiến bộ khoa học và CN</t>
  </si>
  <si>
    <t>Đề án CNTT 2006 - 2010</t>
  </si>
  <si>
    <t>VI</t>
  </si>
  <si>
    <t>Sự nghiệp Văn hóa Thể thao - Du lịch</t>
  </si>
  <si>
    <t>Sự nghiệp văn hóa - thể thao - du lịch</t>
  </si>
  <si>
    <t>Thư viện</t>
  </si>
  <si>
    <t>Trung tâm Văn hóa thông tin</t>
  </si>
  <si>
    <t>Bảo tàng</t>
  </si>
  <si>
    <t>Trung tâm phát hành phim và chiếu bóng</t>
  </si>
  <si>
    <t>Đoàn ca múa nhạc tổng hợp</t>
  </si>
  <si>
    <t>Trung tâm Thể dục Thể thao</t>
  </si>
  <si>
    <t>Đời sống văn hóa mới</t>
  </si>
  <si>
    <t>VII</t>
  </si>
  <si>
    <t>Sự nghiệp Phát thanh truyền hình</t>
  </si>
  <si>
    <t>Đài Phát thanh Truyền hình</t>
  </si>
  <si>
    <t>VIII</t>
  </si>
  <si>
    <t>Đảm bảo xã hội</t>
  </si>
  <si>
    <t>Trung tâm chữa bệnh GD - LĐ - XH</t>
  </si>
  <si>
    <t>Trung tâm giới thiệu việc làm</t>
  </si>
  <si>
    <t>Trung tâm Nuôi dưỡng người già - trẻ mồ côi</t>
  </si>
  <si>
    <t>Chi tiền Tết và ngày 27/7 cho đối tượng CS</t>
  </si>
  <si>
    <t>Trợ cấp đột xuất và các hoạt động khác</t>
  </si>
  <si>
    <t>Ban Quản lý Nghĩa trang</t>
  </si>
  <si>
    <t>Chi sự nghiệp chăm sóc trẻ em</t>
  </si>
  <si>
    <t>Ngân hàng chính sách xã hội</t>
  </si>
  <si>
    <t>Chi xây dựng nhà tình thương</t>
  </si>
  <si>
    <t>X</t>
  </si>
  <si>
    <t>Quản lý hành chính</t>
  </si>
  <si>
    <t>X.1</t>
  </si>
  <si>
    <t>Quản lý Nhà nước</t>
  </si>
  <si>
    <t>Ban Biên giới</t>
  </si>
  <si>
    <t>Ban Dân tộc</t>
  </si>
  <si>
    <t>Ban Quản lý các Khu công nghiệp</t>
  </si>
  <si>
    <t>Chi cục Quản lý thị trường</t>
  </si>
  <si>
    <t>Hội đồng Liên minh các HTX</t>
  </si>
  <si>
    <t>Sở Thông tin - Truyền thông</t>
  </si>
  <si>
    <t>Sở Công thương</t>
  </si>
  <si>
    <t>Sở Giao thông vận tải</t>
  </si>
  <si>
    <t>Sở Kế hoạch và Đầu tư</t>
  </si>
  <si>
    <t>Sở Lao động - TBXH</t>
  </si>
  <si>
    <t>Sở Nội vụ</t>
  </si>
  <si>
    <t>Sở Nông nghiệp - Phát triển nông thôn</t>
  </si>
  <si>
    <t>Sở Tư pháp</t>
  </si>
  <si>
    <t>Sở Xây dựng</t>
  </si>
  <si>
    <t>Sở Y tế</t>
  </si>
  <si>
    <t>Thanh tra Nhà nước</t>
  </si>
  <si>
    <t>Sở Văn hóa Thể thao và Du lịch</t>
  </si>
  <si>
    <t>Văn phòng Đăng ký quyền sử dụng đất</t>
  </si>
  <si>
    <t>Văn phòng Đoàn ĐBQH &amp; HĐND tỉnh</t>
  </si>
  <si>
    <t xml:space="preserve">Văn phòng Ủy ban nhân dân </t>
  </si>
  <si>
    <t>Ban Quản lý Khu kinh tế cửa khẩu Hoa Lư</t>
  </si>
  <si>
    <t>Sở Ngoại vụ</t>
  </si>
  <si>
    <t>X.2</t>
  </si>
  <si>
    <t>Hỗ trợ ngân sách Đảng</t>
  </si>
  <si>
    <t>X.3</t>
  </si>
  <si>
    <t>Kinh phí các hội, đoàn thể</t>
  </si>
  <si>
    <t>Hội Cựu chiến binh</t>
  </si>
  <si>
    <t>Hội Liên hiệp phụ nữ</t>
  </si>
  <si>
    <t>Trung tâm DVVL Phụ nữ</t>
  </si>
  <si>
    <t>Hội Nông dân</t>
  </si>
  <si>
    <t>Ủy ban Mặt trận Tổ quốc tỉnh</t>
  </si>
  <si>
    <t>Trung tâm dạy nghề và hỗ trợ nông dân</t>
  </si>
  <si>
    <t>Tỉnh đoàn</t>
  </si>
  <si>
    <t>Trung tâm hoạt động thanh thiếu niên</t>
  </si>
  <si>
    <t>X.4</t>
  </si>
  <si>
    <t>Hỗ trợ các tổ chức xã hội</t>
  </si>
  <si>
    <t>Hội Chữ thập đỏ</t>
  </si>
  <si>
    <t>Hội Người mù</t>
  </si>
  <si>
    <t>Hội Đông Y</t>
  </si>
  <si>
    <t>Hội Khuyến học</t>
  </si>
  <si>
    <t>Liên hiệp các Hội KH &amp; KT</t>
  </si>
  <si>
    <t>Hội Kế hoạch hóa gia đình</t>
  </si>
  <si>
    <t>Hội Luật gia</t>
  </si>
  <si>
    <t>Hội Nhà báo</t>
  </si>
  <si>
    <t>Hội nạn nhân chất độc màu da cam</t>
  </si>
  <si>
    <t>Hội Cựu thanh niên xung phong</t>
  </si>
  <si>
    <t>Ban vì sự tiến bộ phụ nữ</t>
  </si>
  <si>
    <t>Hội Văn học nghệ thuật</t>
  </si>
  <si>
    <t>Hội Người cao tuổi</t>
  </si>
  <si>
    <t>Hội Doanh nghiệp trẻ</t>
  </si>
  <si>
    <t>XI</t>
  </si>
  <si>
    <t>Chi an ninh - quốc phòng địa phương</t>
  </si>
  <si>
    <t>Tỉnh đội</t>
  </si>
  <si>
    <t>Bộ đội biên phòng</t>
  </si>
  <si>
    <t>Công an tỉnh</t>
  </si>
  <si>
    <t>XII</t>
  </si>
  <si>
    <t>Chi khác ngân sách</t>
  </si>
  <si>
    <t>Tổng cộng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</si>
</sst>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[$-42A]dd\ mmmm\ yyyy"/>
    <numFmt numFmtId="183" formatCode="[$-42A]h:mm:ss\ AM/PM"/>
    <numFmt numFmtId="184" formatCode="[&lt;=9999999][$-1000000]###\-####;[$-1000000]\(#\)\ ###\-####"/>
    <numFmt numFmtId="185" formatCode="_(* #,##0.0_);_(* \(#,##0.0\);_(* &quot;-&quot;??_);_(@_)"/>
    <numFmt numFmtId="186" formatCode="_(* #,##0.0_);_(* \(#,##0.0\);_(* &quot;-&quot;?_);_(@_)"/>
  </numFmts>
  <fonts count="4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4.4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4.4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dashed"/>
    </border>
    <border>
      <left style="thin"/>
      <right style="thin"/>
      <top style="dashed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0" borderId="0">
      <alignment/>
      <protection/>
    </xf>
  </cellStyleXfs>
  <cellXfs count="224">
    <xf numFmtId="0" fontId="0" fillId="0" borderId="0" xfId="0" applyAlignment="1">
      <alignment/>
    </xf>
    <xf numFmtId="3" fontId="3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3" fillId="0" borderId="0" xfId="30" applyNumberFormat="1" applyFont="1" applyAlignment="1">
      <alignment horizontal="center" vertical="top"/>
      <protection/>
    </xf>
    <xf numFmtId="3" fontId="3" fillId="0" borderId="0" xfId="30" applyNumberFormat="1" applyFont="1" applyAlignment="1">
      <alignment vertical="top" wrapText="1"/>
      <protection/>
    </xf>
    <xf numFmtId="3" fontId="7" fillId="0" borderId="2" xfId="0" applyNumberFormat="1" applyFont="1" applyBorder="1" applyAlignment="1" quotePrefix="1">
      <alignment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30" applyNumberFormat="1">
      <alignment/>
      <protection/>
    </xf>
    <xf numFmtId="3" fontId="3" fillId="0" borderId="0" xfId="30" applyNumberFormat="1" applyFont="1">
      <alignment/>
      <protection/>
    </xf>
    <xf numFmtId="3" fontId="3" fillId="0" borderId="0" xfId="30" applyNumberFormat="1" applyFill="1">
      <alignment/>
      <protection/>
    </xf>
    <xf numFmtId="3" fontId="4" fillId="0" borderId="0" xfId="30" applyNumberFormat="1" applyFont="1" applyAlignment="1">
      <alignment horizontal="right"/>
      <protection/>
    </xf>
    <xf numFmtId="3" fontId="5" fillId="0" borderId="0" xfId="30" applyNumberFormat="1" applyFont="1" applyAlignment="1">
      <alignment horizontal="center" vertical="center" wrapText="1"/>
      <protection/>
    </xf>
    <xf numFmtId="3" fontId="1" fillId="0" borderId="0" xfId="30" applyNumberFormat="1" applyFont="1" applyAlignment="1">
      <alignment horizontal="center" vertical="center" wrapText="1"/>
      <protection/>
    </xf>
    <xf numFmtId="3" fontId="18" fillId="0" borderId="3" xfId="30" applyNumberFormat="1" applyFont="1" applyBorder="1">
      <alignment/>
      <protection/>
    </xf>
    <xf numFmtId="3" fontId="18" fillId="0" borderId="0" xfId="30" applyNumberFormat="1" applyFont="1">
      <alignment/>
      <protection/>
    </xf>
    <xf numFmtId="3" fontId="19" fillId="0" borderId="2" xfId="30" applyNumberFormat="1" applyFont="1" applyBorder="1">
      <alignment/>
      <protection/>
    </xf>
    <xf numFmtId="3" fontId="2" fillId="0" borderId="0" xfId="30" applyNumberFormat="1" applyFont="1">
      <alignment/>
      <protection/>
    </xf>
    <xf numFmtId="3" fontId="1" fillId="0" borderId="0" xfId="30" applyNumberFormat="1" applyFont="1">
      <alignment/>
      <protection/>
    </xf>
    <xf numFmtId="3" fontId="3" fillId="0" borderId="4" xfId="30" applyNumberFormat="1" applyBorder="1">
      <alignment/>
      <protection/>
    </xf>
    <xf numFmtId="3" fontId="3" fillId="0" borderId="4" xfId="30" applyNumberFormat="1" applyFill="1" applyBorder="1">
      <alignment/>
      <protection/>
    </xf>
    <xf numFmtId="3" fontId="17" fillId="0" borderId="2" xfId="30" applyNumberFormat="1" applyFont="1" applyFill="1" applyBorder="1">
      <alignment/>
      <protection/>
    </xf>
    <xf numFmtId="3" fontId="0" fillId="0" borderId="0" xfId="0" applyNumberFormat="1" applyAlignment="1">
      <alignment vertical="top" wrapText="1"/>
    </xf>
    <xf numFmtId="3" fontId="5" fillId="0" borderId="3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 quotePrefix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5" fillId="0" borderId="3" xfId="0" applyNumberFormat="1" applyFont="1" applyBorder="1" applyAlignment="1">
      <alignment wrapText="1"/>
    </xf>
    <xf numFmtId="3" fontId="5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20" fillId="0" borderId="0" xfId="30" applyNumberFormat="1" applyFont="1" applyAlignment="1">
      <alignment vertical="top" wrapText="1"/>
      <protection/>
    </xf>
    <xf numFmtId="3" fontId="25" fillId="0" borderId="0" xfId="30" applyNumberFormat="1" applyFont="1" applyAlignment="1">
      <alignment vertical="top" wrapText="1"/>
      <protection/>
    </xf>
    <xf numFmtId="3" fontId="25" fillId="0" borderId="0" xfId="30" applyNumberFormat="1" applyFont="1" applyAlignment="1">
      <alignment horizontal="center" vertical="top" wrapText="1"/>
      <protection/>
    </xf>
    <xf numFmtId="3" fontId="23" fillId="0" borderId="0" xfId="30" applyNumberFormat="1" applyFont="1">
      <alignment/>
      <protection/>
    </xf>
    <xf numFmtId="3" fontId="26" fillId="0" borderId="0" xfId="30" applyNumberFormat="1" applyFont="1">
      <alignment/>
      <protection/>
    </xf>
    <xf numFmtId="3" fontId="25" fillId="0" borderId="0" xfId="30" applyNumberFormat="1" applyFont="1">
      <alignment/>
      <protection/>
    </xf>
    <xf numFmtId="3" fontId="27" fillId="0" borderId="0" xfId="30" applyNumberFormat="1" applyFont="1">
      <alignment/>
      <protection/>
    </xf>
    <xf numFmtId="3" fontId="22" fillId="0" borderId="0" xfId="30" applyNumberFormat="1" applyFont="1">
      <alignment/>
      <protection/>
    </xf>
    <xf numFmtId="3" fontId="21" fillId="0" borderId="0" xfId="30" applyNumberFormat="1" applyFont="1">
      <alignment/>
      <protection/>
    </xf>
    <xf numFmtId="3" fontId="21" fillId="0" borderId="0" xfId="30" applyNumberFormat="1" applyFont="1">
      <alignment/>
      <protection/>
    </xf>
    <xf numFmtId="3" fontId="29" fillId="0" borderId="0" xfId="30" applyNumberFormat="1" applyFont="1">
      <alignment/>
      <protection/>
    </xf>
    <xf numFmtId="3" fontId="28" fillId="0" borderId="0" xfId="30" applyNumberFormat="1" applyFont="1">
      <alignment/>
      <protection/>
    </xf>
    <xf numFmtId="4" fontId="29" fillId="0" borderId="0" xfId="30" applyNumberFormat="1" applyFont="1">
      <alignment/>
      <protection/>
    </xf>
    <xf numFmtId="3" fontId="22" fillId="0" borderId="0" xfId="30" applyNumberFormat="1" applyFont="1">
      <alignment/>
      <protection/>
    </xf>
    <xf numFmtId="3" fontId="28" fillId="0" borderId="0" xfId="30" applyNumberFormat="1" applyFont="1">
      <alignment/>
      <protection/>
    </xf>
    <xf numFmtId="3" fontId="22" fillId="0" borderId="0" xfId="30" applyNumberFormat="1" applyFont="1" applyAlignment="1">
      <alignment vertical="top" wrapText="1"/>
      <protection/>
    </xf>
    <xf numFmtId="3" fontId="28" fillId="0" borderId="0" xfId="30" applyNumberFormat="1" applyFont="1" applyAlignment="1">
      <alignment vertical="top" wrapText="1"/>
      <protection/>
    </xf>
    <xf numFmtId="3" fontId="23" fillId="0" borderId="0" xfId="30" applyNumberFormat="1" applyFont="1" applyAlignment="1">
      <alignment vertical="top" wrapText="1"/>
      <protection/>
    </xf>
    <xf numFmtId="3" fontId="30" fillId="0" borderId="0" xfId="30" applyNumberFormat="1" applyFont="1" applyAlignment="1">
      <alignment horizontal="center" vertical="top" wrapText="1"/>
      <protection/>
    </xf>
    <xf numFmtId="3" fontId="25" fillId="0" borderId="0" xfId="17" applyNumberFormat="1" applyFont="1" applyAlignment="1">
      <alignment/>
    </xf>
    <xf numFmtId="4" fontId="25" fillId="0" borderId="0" xfId="30" applyNumberFormat="1" applyFont="1">
      <alignment/>
      <protection/>
    </xf>
    <xf numFmtId="3" fontId="31" fillId="0" borderId="0" xfId="30" applyNumberFormat="1" applyFont="1" applyAlignment="1">
      <alignment vertical="top" wrapText="1"/>
      <protection/>
    </xf>
    <xf numFmtId="3" fontId="24" fillId="0" borderId="0" xfId="30" applyNumberFormat="1" applyFont="1" applyAlignment="1">
      <alignment vertical="top" wrapText="1"/>
      <protection/>
    </xf>
    <xf numFmtId="3" fontId="32" fillId="0" borderId="0" xfId="30" applyNumberFormat="1" applyFont="1" applyAlignment="1">
      <alignment vertical="top" wrapText="1"/>
      <protection/>
    </xf>
    <xf numFmtId="3" fontId="5" fillId="0" borderId="5" xfId="0" applyNumberFormat="1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4" fillId="0" borderId="0" xfId="30" applyNumberFormat="1" applyFont="1">
      <alignment/>
      <protection/>
    </xf>
    <xf numFmtId="3" fontId="33" fillId="0" borderId="0" xfId="30" applyNumberFormat="1" applyFont="1">
      <alignment/>
      <protection/>
    </xf>
    <xf numFmtId="3" fontId="5" fillId="0" borderId="7" xfId="30" applyNumberFormat="1" applyFont="1" applyBorder="1" applyAlignment="1">
      <alignment horizontal="left"/>
      <protection/>
    </xf>
    <xf numFmtId="3" fontId="5" fillId="0" borderId="7" xfId="30" applyNumberFormat="1" applyFont="1" applyBorder="1" applyAlignment="1">
      <alignment horizontal="right"/>
      <protection/>
    </xf>
    <xf numFmtId="3" fontId="5" fillId="0" borderId="7" xfId="30" applyNumberFormat="1" applyFont="1" applyBorder="1" applyAlignment="1">
      <alignment horizontal="right" vertical="top" wrapText="1"/>
      <protection/>
    </xf>
    <xf numFmtId="3" fontId="5" fillId="0" borderId="0" xfId="30" applyNumberFormat="1" applyFont="1">
      <alignment/>
      <protection/>
    </xf>
    <xf numFmtId="3" fontId="5" fillId="0" borderId="8" xfId="29" applyNumberFormat="1" applyFont="1" applyBorder="1" applyAlignment="1">
      <alignment horizontal="right"/>
      <protection/>
    </xf>
    <xf numFmtId="3" fontId="5" fillId="0" borderId="7" xfId="30" applyNumberFormat="1" applyFont="1" applyBorder="1" applyAlignment="1">
      <alignment horizontal="right" vertical="top" wrapText="1"/>
      <protection/>
    </xf>
    <xf numFmtId="3" fontId="5" fillId="0" borderId="7" xfId="30" applyNumberFormat="1" applyFont="1" applyBorder="1" applyAlignment="1">
      <alignment horizontal="right"/>
      <protection/>
    </xf>
    <xf numFmtId="3" fontId="0" fillId="0" borderId="2" xfId="0" applyNumberFormat="1" applyFont="1" applyBorder="1" applyAlignment="1" quotePrefix="1">
      <alignment horizontal="left" vertical="top" wrapText="1"/>
    </xf>
    <xf numFmtId="3" fontId="35" fillId="0" borderId="8" xfId="0" applyNumberFormat="1" applyFont="1" applyBorder="1" applyAlignment="1" quotePrefix="1">
      <alignment horizontal="right" vertical="top" wrapText="1"/>
    </xf>
    <xf numFmtId="3" fontId="3" fillId="0" borderId="7" xfId="30" applyNumberFormat="1" applyFont="1" applyBorder="1" applyAlignment="1">
      <alignment horizontal="right"/>
      <protection/>
    </xf>
    <xf numFmtId="3" fontId="3" fillId="0" borderId="7" xfId="0" applyNumberFormat="1" applyFont="1" applyBorder="1" applyAlignment="1">
      <alignment horizontal="right" vertical="top" wrapText="1"/>
    </xf>
    <xf numFmtId="3" fontId="3" fillId="0" borderId="7" xfId="30" applyNumberFormat="1" applyFont="1" applyBorder="1" applyAlignment="1">
      <alignment horizontal="right" vertical="top" wrapText="1"/>
      <protection/>
    </xf>
    <xf numFmtId="3" fontId="3" fillId="0" borderId="7" xfId="30" applyNumberFormat="1" applyFont="1" applyBorder="1" applyAlignment="1">
      <alignment horizontal="right"/>
      <protection/>
    </xf>
    <xf numFmtId="3" fontId="0" fillId="0" borderId="4" xfId="0" applyNumberFormat="1" applyFont="1" applyBorder="1" applyAlignment="1" quotePrefix="1">
      <alignment horizontal="left" vertical="top" wrapText="1"/>
    </xf>
    <xf numFmtId="3" fontId="35" fillId="0" borderId="9" xfId="0" applyNumberFormat="1" applyFont="1" applyBorder="1" applyAlignment="1" quotePrefix="1">
      <alignment horizontal="right" vertical="top" wrapText="1"/>
    </xf>
    <xf numFmtId="3" fontId="3" fillId="0" borderId="10" xfId="30" applyNumberFormat="1" applyFont="1" applyBorder="1" applyAlignment="1">
      <alignment horizontal="right"/>
      <protection/>
    </xf>
    <xf numFmtId="3" fontId="3" fillId="0" borderId="10" xfId="30" applyNumberFormat="1" applyFont="1" applyBorder="1" applyAlignment="1">
      <alignment horizontal="right"/>
      <protection/>
    </xf>
    <xf numFmtId="3" fontId="5" fillId="0" borderId="8" xfId="30" applyNumberFormat="1" applyFont="1" applyBorder="1" applyAlignment="1">
      <alignment horizontal="right"/>
      <protection/>
    </xf>
    <xf numFmtId="3" fontId="5" fillId="0" borderId="11" xfId="30" applyNumberFormat="1" applyFont="1" applyBorder="1" applyAlignment="1">
      <alignment horizontal="right"/>
      <protection/>
    </xf>
    <xf numFmtId="3" fontId="3" fillId="0" borderId="7" xfId="30" applyNumberFormat="1" applyFont="1" applyBorder="1" applyAlignment="1">
      <alignment horizontal="right" vertical="top" wrapText="1"/>
      <protection/>
    </xf>
    <xf numFmtId="3" fontId="3" fillId="0" borderId="7" xfId="30" applyNumberFormat="1" applyFont="1" applyBorder="1" applyAlignment="1">
      <alignment horizontal="right" vertical="top"/>
      <protection/>
    </xf>
    <xf numFmtId="3" fontId="36" fillId="0" borderId="7" xfId="30" applyNumberFormat="1" applyFont="1" applyBorder="1" applyAlignment="1">
      <alignment horizontal="right"/>
      <protection/>
    </xf>
    <xf numFmtId="3" fontId="5" fillId="0" borderId="8" xfId="30" applyNumberFormat="1" applyFont="1" applyBorder="1" applyAlignment="1">
      <alignment horizontal="center"/>
      <protection/>
    </xf>
    <xf numFmtId="3" fontId="5" fillId="0" borderId="11" xfId="30" applyNumberFormat="1" applyFont="1" applyBorder="1" applyAlignment="1">
      <alignment horizontal="left"/>
      <protection/>
    </xf>
    <xf numFmtId="3" fontId="3" fillId="0" borderId="7" xfId="30" applyNumberFormat="1" applyFont="1" applyBorder="1" applyAlignment="1">
      <alignment horizontal="left"/>
      <protection/>
    </xf>
    <xf numFmtId="3" fontId="3" fillId="0" borderId="7" xfId="30" applyNumberFormat="1" applyFont="1" applyBorder="1" applyAlignment="1">
      <alignment horizontal="left" vertical="top" wrapText="1"/>
      <protection/>
    </xf>
    <xf numFmtId="3" fontId="36" fillId="0" borderId="7" xfId="30" applyNumberFormat="1" applyFont="1" applyBorder="1" applyAlignment="1">
      <alignment horizontal="left"/>
      <protection/>
    </xf>
    <xf numFmtId="3" fontId="36" fillId="0" borderId="7" xfId="30" applyNumberFormat="1" applyFont="1" applyBorder="1" applyAlignment="1">
      <alignment horizontal="left"/>
      <protection/>
    </xf>
    <xf numFmtId="3" fontId="5" fillId="0" borderId="7" xfId="30" applyNumberFormat="1" applyFont="1" applyBorder="1" applyAlignment="1">
      <alignment horizontal="left" vertical="top" wrapText="1"/>
      <protection/>
    </xf>
    <xf numFmtId="3" fontId="6" fillId="0" borderId="0" xfId="30" applyNumberFormat="1" applyFont="1" applyAlignment="1">
      <alignment vertical="top"/>
      <protection/>
    </xf>
    <xf numFmtId="3" fontId="5" fillId="0" borderId="12" xfId="30" applyNumberFormat="1" applyFont="1" applyBorder="1" applyAlignment="1">
      <alignment horizontal="center" vertical="center" wrapText="1"/>
      <protection/>
    </xf>
    <xf numFmtId="0" fontId="5" fillId="0" borderId="9" xfId="30" applyFont="1" applyBorder="1" applyAlignment="1">
      <alignment horizontal="center" vertical="center" wrapText="1"/>
      <protection/>
    </xf>
    <xf numFmtId="3" fontId="2" fillId="0" borderId="0" xfId="30" applyNumberFormat="1" applyFont="1" applyAlignment="1">
      <alignment vertical="top" wrapText="1"/>
      <protection/>
    </xf>
    <xf numFmtId="3" fontId="37" fillId="0" borderId="0" xfId="30" applyNumberFormat="1" applyFont="1" applyAlignment="1">
      <alignment horizontal="right" vertical="top"/>
      <protection/>
    </xf>
    <xf numFmtId="3" fontId="3" fillId="0" borderId="7" xfId="30" applyNumberFormat="1" applyFont="1" applyBorder="1" applyAlignment="1" quotePrefix="1">
      <alignment horizontal="left"/>
      <protection/>
    </xf>
    <xf numFmtId="3" fontId="3" fillId="0" borderId="7" xfId="30" applyNumberFormat="1" applyFont="1" applyBorder="1" applyAlignment="1" quotePrefix="1">
      <alignment horizontal="right"/>
      <protection/>
    </xf>
    <xf numFmtId="3" fontId="36" fillId="0" borderId="7" xfId="30" applyNumberFormat="1" applyFont="1" applyBorder="1" applyAlignment="1" quotePrefix="1">
      <alignment horizontal="left"/>
      <protection/>
    </xf>
    <xf numFmtId="3" fontId="3" fillId="0" borderId="7" xfId="30" applyNumberFormat="1" applyFont="1" applyBorder="1" applyAlignment="1" quotePrefix="1">
      <alignment horizontal="right"/>
      <protection/>
    </xf>
    <xf numFmtId="3" fontId="36" fillId="0" borderId="7" xfId="30" applyNumberFormat="1" applyFont="1" applyBorder="1" applyAlignment="1" quotePrefix="1">
      <alignment horizontal="left"/>
      <protection/>
    </xf>
    <xf numFmtId="3" fontId="36" fillId="0" borderId="7" xfId="30" applyNumberFormat="1" applyFont="1" applyBorder="1" applyAlignment="1" quotePrefix="1">
      <alignment horizontal="left" vertical="top" wrapText="1"/>
      <protection/>
    </xf>
    <xf numFmtId="3" fontId="3" fillId="0" borderId="7" xfId="30" applyNumberFormat="1" applyFont="1" applyBorder="1" applyAlignment="1" quotePrefix="1">
      <alignment horizontal="right" vertical="top" wrapText="1"/>
      <protection/>
    </xf>
    <xf numFmtId="3" fontId="36" fillId="0" borderId="7" xfId="30" applyNumberFormat="1" applyFont="1" applyBorder="1" applyAlignment="1">
      <alignment horizontal="left" vertical="top" wrapText="1"/>
      <protection/>
    </xf>
    <xf numFmtId="3" fontId="3" fillId="0" borderId="12" xfId="30" applyNumberFormat="1" applyFont="1" applyBorder="1" applyAlignment="1">
      <alignment horizontal="center" vertical="top" wrapText="1"/>
      <protection/>
    </xf>
    <xf numFmtId="3" fontId="2" fillId="0" borderId="0" xfId="0" applyNumberFormat="1" applyFont="1" applyAlignment="1">
      <alignment vertical="top" wrapText="1"/>
    </xf>
    <xf numFmtId="3" fontId="38" fillId="0" borderId="0" xfId="0" applyNumberFormat="1" applyFont="1" applyAlignment="1">
      <alignment vertical="top" wrapText="1"/>
    </xf>
    <xf numFmtId="3" fontId="37" fillId="0" borderId="0" xfId="0" applyNumberFormat="1" applyFont="1" applyAlignment="1">
      <alignment horizontal="right" vertical="top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Border="1" applyAlignment="1" quotePrefix="1">
      <alignment vertical="top" wrapText="1"/>
    </xf>
    <xf numFmtId="3" fontId="0" fillId="0" borderId="2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 quotePrefix="1">
      <alignment vertical="top" wrapText="1"/>
    </xf>
    <xf numFmtId="3" fontId="5" fillId="0" borderId="2" xfId="0" applyNumberFormat="1" applyFont="1" applyBorder="1" applyAlignment="1" quotePrefix="1">
      <alignment vertical="top" wrapText="1"/>
    </xf>
    <xf numFmtId="3" fontId="5" fillId="0" borderId="2" xfId="0" applyNumberFormat="1" applyFont="1" applyBorder="1" applyAlignment="1" quotePrefix="1">
      <alignment vertical="top" wrapText="1"/>
    </xf>
    <xf numFmtId="3" fontId="0" fillId="0" borderId="3" xfId="0" applyNumberFormat="1" applyFont="1" applyBorder="1" applyAlignment="1" quotePrefix="1">
      <alignment vertical="top" wrapText="1"/>
    </xf>
    <xf numFmtId="3" fontId="1" fillId="0" borderId="0" xfId="0" applyNumberFormat="1" applyFont="1" applyAlignment="1">
      <alignment horizontal="center" vertical="top" wrapText="1"/>
    </xf>
    <xf numFmtId="3" fontId="0" fillId="0" borderId="4" xfId="0" applyNumberFormat="1" applyFont="1" applyBorder="1" applyAlignment="1" quotePrefix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9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2" fillId="0" borderId="12" xfId="30" applyFont="1" applyBorder="1" applyAlignment="1">
      <alignment horizontal="center" vertical="center"/>
      <protection/>
    </xf>
    <xf numFmtId="0" fontId="19" fillId="0" borderId="12" xfId="30" applyFont="1" applyBorder="1" applyAlignment="1">
      <alignment horizontal="center" vertical="center"/>
      <protection/>
    </xf>
    <xf numFmtId="0" fontId="2" fillId="0" borderId="12" xfId="30" applyFont="1" applyBorder="1" applyAlignment="1">
      <alignment horizontal="center" vertical="center" wrapText="1"/>
      <protection/>
    </xf>
    <xf numFmtId="3" fontId="17" fillId="0" borderId="3" xfId="30" applyNumberFormat="1" applyFont="1" applyFill="1" applyBorder="1" applyAlignment="1">
      <alignment horizontal="center"/>
      <protection/>
    </xf>
    <xf numFmtId="3" fontId="17" fillId="0" borderId="3" xfId="30" applyNumberFormat="1" applyFont="1" applyBorder="1">
      <alignment/>
      <protection/>
    </xf>
    <xf numFmtId="3" fontId="2" fillId="0" borderId="2" xfId="30" applyNumberFormat="1" applyFont="1" applyBorder="1" applyAlignment="1">
      <alignment horizontal="center"/>
      <protection/>
    </xf>
    <xf numFmtId="3" fontId="5" fillId="0" borderId="12" xfId="30" applyNumberFormat="1" applyFont="1" applyBorder="1" applyAlignment="1">
      <alignment horizontal="center" vertical="center" wrapText="1"/>
      <protection/>
    </xf>
    <xf numFmtId="0" fontId="3" fillId="0" borderId="12" xfId="30" applyFont="1" applyBorder="1">
      <alignment/>
      <protection/>
    </xf>
    <xf numFmtId="3" fontId="25" fillId="0" borderId="0" xfId="30" applyNumberFormat="1" applyFont="1" applyAlignment="1">
      <alignment wrapText="1"/>
      <protection/>
    </xf>
    <xf numFmtId="0" fontId="25" fillId="0" borderId="0" xfId="30" applyFont="1" applyAlignment="1">
      <alignment wrapText="1"/>
      <protection/>
    </xf>
    <xf numFmtId="3" fontId="1" fillId="0" borderId="0" xfId="30" applyNumberFormat="1" applyFont="1" applyAlignment="1">
      <alignment horizontal="center" vertical="top" wrapText="1"/>
      <protection/>
    </xf>
    <xf numFmtId="3" fontId="5" fillId="0" borderId="12" xfId="30" applyNumberFormat="1" applyFont="1" applyBorder="1" applyAlignment="1">
      <alignment horizontal="center" vertical="top" wrapText="1"/>
      <protection/>
    </xf>
    <xf numFmtId="3" fontId="5" fillId="0" borderId="13" xfId="30" applyNumberFormat="1" applyFont="1" applyBorder="1" applyAlignment="1">
      <alignment horizontal="center" vertical="top" wrapText="1"/>
      <protection/>
    </xf>
    <xf numFmtId="3" fontId="5" fillId="0" borderId="14" xfId="30" applyNumberFormat="1" applyFont="1" applyBorder="1" applyAlignment="1">
      <alignment horizontal="center" vertical="top" wrapText="1"/>
      <protection/>
    </xf>
    <xf numFmtId="3" fontId="5" fillId="0" borderId="15" xfId="30" applyNumberFormat="1" applyFont="1" applyBorder="1" applyAlignment="1">
      <alignment horizontal="center" vertical="top" wrapText="1"/>
      <protection/>
    </xf>
    <xf numFmtId="3" fontId="37" fillId="0" borderId="0" xfId="30" applyNumberFormat="1" applyFont="1" applyAlignment="1">
      <alignment horizontal="center" vertical="top"/>
      <protection/>
    </xf>
    <xf numFmtId="3" fontId="3" fillId="0" borderId="0" xfId="0" applyNumberFormat="1" applyFont="1" applyAlignment="1" quotePrefix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7" fillId="0" borderId="16" xfId="30" applyNumberFormat="1" applyFont="1" applyBorder="1" applyAlignment="1">
      <alignment horizontal="right" vertical="top"/>
      <protection/>
    </xf>
    <xf numFmtId="0" fontId="5" fillId="0" borderId="13" xfId="30" applyFont="1" applyBorder="1" applyAlignment="1">
      <alignment horizontal="center" vertical="center" wrapText="1"/>
      <protection/>
    </xf>
    <xf numFmtId="0" fontId="5" fillId="0" borderId="14" xfId="30" applyFont="1" applyBorder="1" applyAlignment="1">
      <alignment horizontal="center" vertical="center" wrapText="1"/>
      <protection/>
    </xf>
    <xf numFmtId="0" fontId="5" fillId="0" borderId="15" xfId="30" applyFont="1" applyBorder="1" applyAlignment="1">
      <alignment horizontal="center" vertical="center" wrapText="1"/>
      <protection/>
    </xf>
    <xf numFmtId="3" fontId="1" fillId="0" borderId="0" xfId="30" applyNumberFormat="1" applyFont="1" applyAlignment="1">
      <alignment horizontal="center"/>
      <protection/>
    </xf>
    <xf numFmtId="3" fontId="1" fillId="0" borderId="13" xfId="30" applyNumberFormat="1" applyFont="1" applyBorder="1" applyAlignment="1">
      <alignment horizontal="center" vertical="center" wrapText="1"/>
      <protection/>
    </xf>
    <xf numFmtId="3" fontId="1" fillId="0" borderId="14" xfId="30" applyNumberFormat="1" applyFont="1" applyBorder="1" applyAlignment="1">
      <alignment horizontal="center" vertical="center" wrapText="1"/>
      <protection/>
    </xf>
    <xf numFmtId="3" fontId="1" fillId="0" borderId="15" xfId="30" applyNumberFormat="1" applyFont="1" applyBorder="1" applyAlignment="1">
      <alignment horizontal="center" vertical="center" wrapText="1"/>
      <protection/>
    </xf>
    <xf numFmtId="3" fontId="5" fillId="0" borderId="17" xfId="30" applyNumberFormat="1" applyFont="1" applyBorder="1" applyAlignment="1">
      <alignment horizontal="center" vertical="center" wrapText="1"/>
      <protection/>
    </xf>
    <xf numFmtId="3" fontId="5" fillId="0" borderId="8" xfId="30" applyNumberFormat="1" applyFont="1" applyBorder="1" applyAlignment="1">
      <alignment horizontal="center" vertical="center" wrapText="1"/>
      <protection/>
    </xf>
    <xf numFmtId="3" fontId="5" fillId="0" borderId="9" xfId="30" applyNumberFormat="1" applyFont="1" applyBorder="1" applyAlignment="1">
      <alignment horizontal="center" vertical="center" wrapText="1"/>
      <protection/>
    </xf>
    <xf numFmtId="3" fontId="17" fillId="0" borderId="17" xfId="30" applyNumberFormat="1" applyFont="1" applyFill="1" applyBorder="1" applyAlignment="1">
      <alignment horizontal="center" vertical="center" wrapText="1"/>
      <protection/>
    </xf>
    <xf numFmtId="3" fontId="17" fillId="0" borderId="8" xfId="30" applyNumberFormat="1" applyFont="1" applyFill="1" applyBorder="1" applyAlignment="1">
      <alignment horizontal="center" vertical="center" wrapText="1"/>
      <protection/>
    </xf>
    <xf numFmtId="3" fontId="17" fillId="0" borderId="9" xfId="30" applyNumberFormat="1" applyFont="1" applyFill="1" applyBorder="1" applyAlignment="1">
      <alignment horizontal="center" vertical="center" wrapText="1"/>
      <protection/>
    </xf>
    <xf numFmtId="3" fontId="17" fillId="0" borderId="17" xfId="30" applyNumberFormat="1" applyFont="1" applyBorder="1" applyAlignment="1">
      <alignment horizontal="center" vertical="center" wrapText="1"/>
      <protection/>
    </xf>
    <xf numFmtId="3" fontId="17" fillId="0" borderId="8" xfId="30" applyNumberFormat="1" applyFont="1" applyBorder="1" applyAlignment="1">
      <alignment horizontal="center" vertical="center" wrapText="1"/>
      <protection/>
    </xf>
    <xf numFmtId="3" fontId="17" fillId="0" borderId="9" xfId="30" applyNumberFormat="1" applyFont="1" applyBorder="1" applyAlignment="1">
      <alignment horizontal="center" vertical="center" wrapText="1"/>
      <protection/>
    </xf>
    <xf numFmtId="0" fontId="5" fillId="0" borderId="17" xfId="30" applyFont="1" applyBorder="1" applyAlignment="1">
      <alignment horizontal="center" vertical="center" wrapText="1"/>
      <protection/>
    </xf>
    <xf numFmtId="0" fontId="5" fillId="0" borderId="9" xfId="30" applyFont="1" applyBorder="1" applyAlignment="1">
      <alignment horizontal="center" vertical="center" wrapText="1"/>
      <protection/>
    </xf>
    <xf numFmtId="3" fontId="1" fillId="0" borderId="0" xfId="31" applyNumberFormat="1" applyFont="1" applyAlignment="1">
      <alignment horizontal="center"/>
      <protection/>
    </xf>
    <xf numFmtId="3" fontId="40" fillId="0" borderId="0" xfId="31" applyNumberFormat="1">
      <alignment/>
      <protection/>
    </xf>
    <xf numFmtId="3" fontId="3" fillId="0" borderId="0" xfId="31" applyNumberFormat="1" applyFont="1">
      <alignment/>
      <protection/>
    </xf>
    <xf numFmtId="3" fontId="36" fillId="0" borderId="0" xfId="31" applyNumberFormat="1" applyFont="1">
      <alignment/>
      <protection/>
    </xf>
    <xf numFmtId="3" fontId="36" fillId="0" borderId="0" xfId="31" applyNumberFormat="1" applyFont="1" applyFill="1">
      <alignment/>
      <protection/>
    </xf>
    <xf numFmtId="3" fontId="36" fillId="0" borderId="0" xfId="31" applyNumberFormat="1" applyFont="1" applyFill="1">
      <alignment/>
      <protection/>
    </xf>
    <xf numFmtId="3" fontId="36" fillId="0" borderId="0" xfId="31" applyNumberFormat="1" applyFont="1">
      <alignment/>
      <protection/>
    </xf>
    <xf numFmtId="3" fontId="37" fillId="0" borderId="0" xfId="31" applyNumberFormat="1" applyFont="1" applyAlignment="1">
      <alignment horizontal="right"/>
      <protection/>
    </xf>
    <xf numFmtId="3" fontId="34" fillId="0" borderId="12" xfId="31" applyNumberFormat="1" applyFont="1" applyBorder="1" applyAlignment="1">
      <alignment horizontal="center" vertical="center" wrapText="1"/>
      <protection/>
    </xf>
    <xf numFmtId="3" fontId="34" fillId="0" borderId="12" xfId="31" applyNumberFormat="1" applyFont="1" applyFill="1" applyBorder="1" applyAlignment="1">
      <alignment horizontal="center" vertical="center" wrapText="1"/>
      <protection/>
    </xf>
    <xf numFmtId="3" fontId="34" fillId="0" borderId="12" xfId="31" applyNumberFormat="1" applyFont="1" applyFill="1" applyBorder="1" applyAlignment="1">
      <alignment horizontal="center" vertical="center" wrapText="1"/>
      <protection/>
    </xf>
    <xf numFmtId="3" fontId="36" fillId="0" borderId="0" xfId="31" applyNumberFormat="1" applyFont="1" applyAlignment="1">
      <alignment horizontal="center" vertical="center" wrapText="1"/>
      <protection/>
    </xf>
    <xf numFmtId="0" fontId="36" fillId="0" borderId="12" xfId="31" applyFont="1" applyBorder="1" applyAlignment="1">
      <alignment horizontal="center" vertical="center" wrapText="1"/>
      <protection/>
    </xf>
    <xf numFmtId="0" fontId="36" fillId="0" borderId="12" xfId="31" applyFont="1" applyBorder="1" applyAlignment="1">
      <alignment horizontal="center" vertical="center" wrapText="1"/>
      <protection/>
    </xf>
    <xf numFmtId="3" fontId="34" fillId="0" borderId="12" xfId="31" applyNumberFormat="1" applyFont="1" applyBorder="1" applyAlignment="1">
      <alignment horizontal="center" vertical="center" wrapText="1"/>
      <protection/>
    </xf>
    <xf numFmtId="3" fontId="34" fillId="0" borderId="0" xfId="31" applyNumberFormat="1" applyFont="1" applyAlignment="1">
      <alignment horizontal="center" vertical="center" wrapText="1"/>
      <protection/>
    </xf>
    <xf numFmtId="3" fontId="34" fillId="0" borderId="18" xfId="31" applyNumberFormat="1" applyFont="1" applyBorder="1" applyAlignment="1">
      <alignment horizontal="center" vertical="center"/>
      <protection/>
    </xf>
    <xf numFmtId="3" fontId="34" fillId="0" borderId="18" xfId="31" applyNumberFormat="1" applyFont="1" applyFill="1" applyBorder="1" applyAlignment="1">
      <alignment vertical="center"/>
      <protection/>
    </xf>
    <xf numFmtId="3" fontId="34" fillId="0" borderId="18" xfId="18" applyNumberFormat="1" applyFont="1" applyBorder="1" applyAlignment="1">
      <alignment vertical="center"/>
    </xf>
    <xf numFmtId="3" fontId="34" fillId="0" borderId="0" xfId="31" applyNumberFormat="1" applyFont="1" applyAlignment="1">
      <alignment vertical="center"/>
      <protection/>
    </xf>
    <xf numFmtId="3" fontId="36" fillId="0" borderId="2" xfId="31" applyNumberFormat="1" applyFont="1" applyBorder="1" applyAlignment="1">
      <alignment horizontal="center" vertical="center"/>
      <protection/>
    </xf>
    <xf numFmtId="3" fontId="36" fillId="0" borderId="2" xfId="31" applyNumberFormat="1" applyFont="1" applyFill="1" applyBorder="1" applyAlignment="1">
      <alignment vertical="center"/>
      <protection/>
    </xf>
    <xf numFmtId="3" fontId="36" fillId="0" borderId="2" xfId="18" applyNumberFormat="1" applyFont="1" applyBorder="1" applyAlignment="1">
      <alignment vertical="center"/>
    </xf>
    <xf numFmtId="3" fontId="36" fillId="0" borderId="0" xfId="31" applyNumberFormat="1" applyFont="1" applyAlignment="1">
      <alignment vertical="center"/>
      <protection/>
    </xf>
    <xf numFmtId="3" fontId="21" fillId="0" borderId="0" xfId="31" applyNumberFormat="1" applyFont="1" applyAlignment="1">
      <alignment vertical="center"/>
      <protection/>
    </xf>
    <xf numFmtId="3" fontId="34" fillId="0" borderId="2" xfId="31" applyNumberFormat="1" applyFont="1" applyBorder="1" applyAlignment="1">
      <alignment horizontal="center" vertical="center"/>
      <protection/>
    </xf>
    <xf numFmtId="3" fontId="34" fillId="0" borderId="2" xfId="31" applyNumberFormat="1" applyFont="1" applyFill="1" applyBorder="1" applyAlignment="1">
      <alignment vertical="center"/>
      <protection/>
    </xf>
    <xf numFmtId="3" fontId="34" fillId="0" borderId="2" xfId="18" applyNumberFormat="1" applyFont="1" applyBorder="1" applyAlignment="1">
      <alignment vertical="center"/>
    </xf>
    <xf numFmtId="3" fontId="36" fillId="0" borderId="2" xfId="31" applyNumberFormat="1" applyFont="1" applyFill="1" applyBorder="1" applyAlignment="1">
      <alignment horizontal="left" vertical="center" wrapText="1"/>
      <protection/>
    </xf>
    <xf numFmtId="3" fontId="36" fillId="0" borderId="2" xfId="31" applyNumberFormat="1" applyFont="1" applyFill="1" applyBorder="1" applyAlignment="1">
      <alignment horizontal="right" vertical="center" wrapText="1"/>
      <protection/>
    </xf>
    <xf numFmtId="3" fontId="36" fillId="0" borderId="2" xfId="31" applyNumberFormat="1" applyFont="1" applyFill="1" applyBorder="1" applyAlignment="1">
      <alignment vertical="center" wrapText="1"/>
      <protection/>
    </xf>
    <xf numFmtId="3" fontId="36" fillId="0" borderId="2" xfId="31" applyNumberFormat="1" applyFont="1" applyBorder="1" applyAlignment="1">
      <alignment horizontal="left" vertical="center"/>
      <protection/>
    </xf>
    <xf numFmtId="3" fontId="36" fillId="0" borderId="2" xfId="31" applyNumberFormat="1" applyFont="1" applyBorder="1" applyAlignment="1">
      <alignment horizontal="right" vertical="center"/>
      <protection/>
    </xf>
    <xf numFmtId="3" fontId="34" fillId="0" borderId="2" xfId="31" applyNumberFormat="1" applyFont="1" applyBorder="1" applyAlignment="1">
      <alignment vertical="center"/>
      <protection/>
    </xf>
    <xf numFmtId="3" fontId="36" fillId="0" borderId="0" xfId="31" applyNumberFormat="1" applyFont="1" applyAlignment="1">
      <alignment vertical="center"/>
      <protection/>
    </xf>
    <xf numFmtId="3" fontId="34" fillId="0" borderId="2" xfId="31" applyNumberFormat="1" applyFont="1" applyFill="1" applyBorder="1" applyAlignment="1">
      <alignment vertical="center" wrapText="1"/>
      <protection/>
    </xf>
    <xf numFmtId="3" fontId="22" fillId="0" borderId="0" xfId="31" applyNumberFormat="1" applyFont="1" applyAlignment="1">
      <alignment vertical="center"/>
      <protection/>
    </xf>
    <xf numFmtId="3" fontId="36" fillId="0" borderId="19" xfId="31" applyNumberFormat="1" applyFont="1" applyBorder="1" applyAlignment="1">
      <alignment horizontal="center" vertical="center"/>
      <protection/>
    </xf>
    <xf numFmtId="3" fontId="36" fillId="0" borderId="19" xfId="31" applyNumberFormat="1" applyFont="1" applyFill="1" applyBorder="1" applyAlignment="1">
      <alignment vertical="center" wrapText="1"/>
      <protection/>
    </xf>
    <xf numFmtId="3" fontId="36" fillId="0" borderId="19" xfId="18" applyNumberFormat="1" applyFont="1" applyBorder="1" applyAlignment="1">
      <alignment vertical="center"/>
    </xf>
    <xf numFmtId="3" fontId="34" fillId="0" borderId="4" xfId="31" applyNumberFormat="1" applyFont="1" applyBorder="1" applyAlignment="1">
      <alignment horizontal="center" vertical="center"/>
      <protection/>
    </xf>
    <xf numFmtId="3" fontId="34" fillId="0" borderId="4" xfId="31" applyNumberFormat="1" applyFont="1" applyFill="1" applyBorder="1" applyAlignment="1">
      <alignment vertical="center" wrapText="1"/>
      <protection/>
    </xf>
    <xf numFmtId="3" fontId="34" fillId="0" borderId="4" xfId="18" applyNumberFormat="1" applyFont="1" applyBorder="1" applyAlignment="1">
      <alignment vertical="center"/>
    </xf>
    <xf numFmtId="3" fontId="34" fillId="0" borderId="0" xfId="31" applyNumberFormat="1" applyFont="1" applyAlignment="1">
      <alignment vertical="center"/>
      <protection/>
    </xf>
    <xf numFmtId="3" fontId="34" fillId="0" borderId="12" xfId="31" applyNumberFormat="1" applyFont="1" applyBorder="1" applyAlignment="1">
      <alignment horizontal="center" vertical="center"/>
      <protection/>
    </xf>
    <xf numFmtId="3" fontId="34" fillId="0" borderId="12" xfId="31" applyNumberFormat="1" applyFont="1" applyFill="1" applyBorder="1" applyAlignment="1">
      <alignment horizontal="center" vertical="center"/>
      <protection/>
    </xf>
    <xf numFmtId="3" fontId="34" fillId="0" borderId="12" xfId="18" applyNumberFormat="1" applyFont="1" applyBorder="1" applyAlignment="1">
      <alignment vertical="center"/>
    </xf>
    <xf numFmtId="3" fontId="34" fillId="0" borderId="0" xfId="31" applyNumberFormat="1" applyFont="1" applyAlignment="1">
      <alignment vertical="center"/>
      <protection/>
    </xf>
    <xf numFmtId="3" fontId="36" fillId="0" borderId="0" xfId="31" applyNumberFormat="1" applyFont="1" applyAlignment="1">
      <alignment horizontal="center"/>
      <protection/>
    </xf>
    <xf numFmtId="3" fontId="36" fillId="0" borderId="0" xfId="18" applyNumberFormat="1" applyFont="1" applyAlignment="1">
      <alignment/>
    </xf>
    <xf numFmtId="3" fontId="40" fillId="0" borderId="0" xfId="31" applyNumberFormat="1" applyFill="1">
      <alignment/>
      <protection/>
    </xf>
    <xf numFmtId="3" fontId="40" fillId="0" borderId="0" xfId="31" applyNumberFormat="1" applyFont="1" applyFill="1">
      <alignment/>
      <protection/>
    </xf>
    <xf numFmtId="3" fontId="40" fillId="0" borderId="0" xfId="18" applyNumberFormat="1" applyFont="1" applyAlignment="1">
      <alignment/>
    </xf>
    <xf numFmtId="3" fontId="40" fillId="0" borderId="0" xfId="31" applyNumberFormat="1" applyFont="1">
      <alignment/>
      <protection/>
    </xf>
  </cellXfs>
  <cellStyles count="31">
    <cellStyle name="Normal" xfId="0"/>
    <cellStyle name="Comma" xfId="15"/>
    <cellStyle name="Comma [0]" xfId="16"/>
    <cellStyle name="Comma_Giao KH nam 2007" xfId="17"/>
    <cellStyle name="Comma_Tổng hợp du toan 2009 -1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Giao DTDC 2006" xfId="29"/>
    <cellStyle name="Normal_Giao KH nam 2007" xfId="30"/>
    <cellStyle name="Normal_Tổng hợp du toan 2009 -1" xfId="31"/>
    <cellStyle name="Percent" xfId="32"/>
    <cellStyle name="Total" xfId="33"/>
    <cellStyle name="똿뗦먛귟 [0.00]_PRODUCT DETAIL Q1" xfId="34"/>
    <cellStyle name="똿뗦먛귟_PRODUCT DETAIL Q1" xfId="35"/>
    <cellStyle name="믅됞 [0.00]_PRODUCT DETAIL Q1" xfId="36"/>
    <cellStyle name="믅됞_PRODUCT DETAIL Q1" xfId="37"/>
    <cellStyle name="백분율_HOBONG" xfId="38"/>
    <cellStyle name="뷭?_BOOKSHIP" xfId="39"/>
    <cellStyle name="콤마 [0]_1202" xfId="40"/>
    <cellStyle name="콤마_1202" xfId="41"/>
    <cellStyle name="통화 [0]_1202" xfId="42"/>
    <cellStyle name="통화_1202" xfId="43"/>
    <cellStyle name="표준_(정보부문)월별인원계획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6</xdr:row>
      <xdr:rowOff>28575</xdr:rowOff>
    </xdr:from>
    <xdr:to>
      <xdr:col>4</xdr:col>
      <xdr:colOff>533400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1809750" y="1343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2733675</xdr:colOff>
      <xdr:row>0</xdr:row>
      <xdr:rowOff>0</xdr:rowOff>
    </xdr:from>
    <xdr:to>
      <xdr:col>1</xdr:col>
      <xdr:colOff>2714625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1981200</xdr:colOff>
      <xdr:row>3</xdr:row>
      <xdr:rowOff>28575</xdr:rowOff>
    </xdr:from>
    <xdr:to>
      <xdr:col>4</xdr:col>
      <xdr:colOff>742950</xdr:colOff>
      <xdr:row>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314575" y="742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07\KH%20NS%20nam%202007\Du%20toan%20NSNN%20nam%202006%20trinh%20HDND%20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6-B02"/>
      <sheetName val="PL6-B03"/>
      <sheetName val="PL6-B06"/>
      <sheetName val="PL6-B06 (2)"/>
      <sheetName val="PL6-B10"/>
      <sheetName val="PL6-B10 (2)"/>
      <sheetName val="PL6-B10 (3)"/>
      <sheetName val="PL6-B10 (4)"/>
      <sheetName val="Khoi tinh"/>
      <sheetName val="PL6-B31"/>
      <sheetName val="Vuot"/>
      <sheetName val="PL6-B23"/>
      <sheetName val="PL6-B25"/>
      <sheetName val="PL6-B27"/>
      <sheetName val="PL6-B32"/>
      <sheetName val="PL6-B33"/>
      <sheetName val="Huyen"/>
      <sheetName val="XDCB"/>
    </sheetNames>
    <sheetDataSet>
      <sheetData sheetId="6">
        <row r="22">
          <cell r="C22">
            <v>478</v>
          </cell>
          <cell r="D22">
            <v>178</v>
          </cell>
          <cell r="E22">
            <v>698</v>
          </cell>
          <cell r="F22">
            <v>320</v>
          </cell>
          <cell r="G22">
            <v>306</v>
          </cell>
          <cell r="H22">
            <v>650</v>
          </cell>
          <cell r="I22">
            <v>863</v>
          </cell>
          <cell r="J22">
            <v>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1.7109375" style="40" customWidth="1"/>
    <col min="2" max="3" width="10.421875" style="40" customWidth="1"/>
    <col min="4" max="4" width="10.28125" style="40" customWidth="1"/>
    <col min="5" max="5" width="11.421875" style="40" customWidth="1"/>
    <col min="6" max="13" width="8.7109375" style="40" customWidth="1"/>
    <col min="14" max="16384" width="10.28125" style="40" customWidth="1"/>
  </cols>
  <sheetData>
    <row r="1" spans="1:2" ht="20.25">
      <c r="A1" s="39"/>
      <c r="B1" s="39"/>
    </row>
    <row r="3" spans="1:13" ht="22.5" customHeight="1">
      <c r="A3" s="137" t="s">
        <v>126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8.75">
      <c r="A4" s="137" t="s">
        <v>105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8.75">
      <c r="A5" s="142" t="s">
        <v>130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8.75">
      <c r="A6" s="8"/>
      <c r="B6" s="8"/>
      <c r="C6" s="8"/>
      <c r="D6" s="8"/>
      <c r="E6" s="8"/>
      <c r="F6" s="8"/>
      <c r="G6" s="8"/>
      <c r="H6" s="8"/>
      <c r="I6" s="8"/>
      <c r="J6" s="8"/>
      <c r="K6" s="100"/>
      <c r="L6" s="100"/>
      <c r="M6" s="101" t="s">
        <v>131</v>
      </c>
    </row>
    <row r="7" spans="1:13" s="41" customFormat="1" ht="15.75" customHeight="1">
      <c r="A7" s="133" t="s">
        <v>1</v>
      </c>
      <c r="B7" s="133" t="s">
        <v>116</v>
      </c>
      <c r="C7" s="133" t="s">
        <v>125</v>
      </c>
      <c r="D7" s="139" t="s">
        <v>2</v>
      </c>
      <c r="E7" s="140"/>
      <c r="F7" s="140"/>
      <c r="G7" s="140"/>
      <c r="H7" s="140"/>
      <c r="I7" s="140"/>
      <c r="J7" s="140"/>
      <c r="K7" s="140"/>
      <c r="L7" s="140"/>
      <c r="M7" s="141"/>
    </row>
    <row r="8" spans="1:13" s="41" customFormat="1" ht="15.75" customHeight="1">
      <c r="A8" s="133"/>
      <c r="B8" s="134"/>
      <c r="C8" s="134"/>
      <c r="D8" s="133" t="s">
        <v>3</v>
      </c>
      <c r="E8" s="133" t="s">
        <v>4</v>
      </c>
      <c r="F8" s="138" t="s">
        <v>2</v>
      </c>
      <c r="G8" s="138"/>
      <c r="H8" s="138"/>
      <c r="I8" s="138"/>
      <c r="J8" s="138"/>
      <c r="K8" s="138"/>
      <c r="L8" s="138"/>
      <c r="M8" s="138"/>
    </row>
    <row r="9" spans="1:13" s="41" customFormat="1" ht="31.5">
      <c r="A9" s="133"/>
      <c r="B9" s="134"/>
      <c r="C9" s="134"/>
      <c r="D9" s="133"/>
      <c r="E9" s="133"/>
      <c r="F9" s="98" t="s">
        <v>5</v>
      </c>
      <c r="G9" s="98" t="s">
        <v>6</v>
      </c>
      <c r="H9" s="98" t="s">
        <v>7</v>
      </c>
      <c r="I9" s="98" t="s">
        <v>8</v>
      </c>
      <c r="J9" s="98" t="s">
        <v>9</v>
      </c>
      <c r="K9" s="98" t="s">
        <v>10</v>
      </c>
      <c r="L9" s="98" t="s">
        <v>11</v>
      </c>
      <c r="M9" s="98" t="s">
        <v>12</v>
      </c>
    </row>
    <row r="10" spans="1:13" ht="15.75">
      <c r="A10" s="110">
        <v>1</v>
      </c>
      <c r="B10" s="110">
        <v>2</v>
      </c>
      <c r="C10" s="110" t="s">
        <v>143</v>
      </c>
      <c r="D10" s="110">
        <v>4</v>
      </c>
      <c r="E10" s="110" t="s">
        <v>144</v>
      </c>
      <c r="F10" s="110">
        <v>6</v>
      </c>
      <c r="G10" s="110">
        <v>7</v>
      </c>
      <c r="H10" s="110">
        <v>8</v>
      </c>
      <c r="I10" s="110">
        <v>9</v>
      </c>
      <c r="J10" s="110">
        <v>10</v>
      </c>
      <c r="K10" s="110">
        <v>11</v>
      </c>
      <c r="L10" s="110">
        <v>12</v>
      </c>
      <c r="M10" s="110">
        <v>13</v>
      </c>
    </row>
    <row r="11" spans="1:13" s="42" customFormat="1" ht="24.75" customHeight="1">
      <c r="A11" s="90" t="s">
        <v>86</v>
      </c>
      <c r="B11" s="85">
        <f aca="true" t="shared" si="0" ref="B11:M11">B12+B59</f>
        <v>1849558</v>
      </c>
      <c r="C11" s="85">
        <f t="shared" si="0"/>
        <v>2261104</v>
      </c>
      <c r="D11" s="85">
        <f t="shared" si="0"/>
        <v>1055524</v>
      </c>
      <c r="E11" s="85">
        <f t="shared" si="0"/>
        <v>1205580</v>
      </c>
      <c r="F11" s="85">
        <f t="shared" si="0"/>
        <v>120193</v>
      </c>
      <c r="G11" s="85">
        <f t="shared" si="0"/>
        <v>128524</v>
      </c>
      <c r="H11" s="85">
        <f t="shared" si="0"/>
        <v>255821</v>
      </c>
      <c r="I11" s="85">
        <f t="shared" si="0"/>
        <v>153474</v>
      </c>
      <c r="J11" s="85">
        <f t="shared" si="0"/>
        <v>93618</v>
      </c>
      <c r="K11" s="85">
        <f t="shared" si="0"/>
        <v>164721</v>
      </c>
      <c r="L11" s="85">
        <f t="shared" si="0"/>
        <v>171669</v>
      </c>
      <c r="M11" s="85">
        <f t="shared" si="0"/>
        <v>117560</v>
      </c>
    </row>
    <row r="12" spans="1:13" s="42" customFormat="1" ht="15.75">
      <c r="A12" s="91" t="s">
        <v>52</v>
      </c>
      <c r="B12" s="86">
        <f aca="true" t="shared" si="1" ref="B12:M12">B13+B26+SUM(B53:B58)</f>
        <v>1701558</v>
      </c>
      <c r="C12" s="86">
        <f t="shared" si="1"/>
        <v>2071104</v>
      </c>
      <c r="D12" s="86">
        <f t="shared" si="1"/>
        <v>935724</v>
      </c>
      <c r="E12" s="86">
        <f t="shared" si="1"/>
        <v>1135380</v>
      </c>
      <c r="F12" s="86">
        <f t="shared" si="1"/>
        <v>114993</v>
      </c>
      <c r="G12" s="86">
        <f t="shared" si="1"/>
        <v>123324</v>
      </c>
      <c r="H12" s="86">
        <f t="shared" si="1"/>
        <v>244021</v>
      </c>
      <c r="I12" s="86">
        <f t="shared" si="1"/>
        <v>145674</v>
      </c>
      <c r="J12" s="86">
        <f t="shared" si="1"/>
        <v>90418</v>
      </c>
      <c r="K12" s="86">
        <f t="shared" si="1"/>
        <v>155121</v>
      </c>
      <c r="L12" s="86">
        <f t="shared" si="1"/>
        <v>151869</v>
      </c>
      <c r="M12" s="86">
        <f t="shared" si="1"/>
        <v>109960</v>
      </c>
    </row>
    <row r="13" spans="1:13" s="42" customFormat="1" ht="15.75">
      <c r="A13" s="68" t="s">
        <v>53</v>
      </c>
      <c r="B13" s="69">
        <v>513130</v>
      </c>
      <c r="C13" s="69">
        <f aca="true" t="shared" si="2" ref="C13:M13">C17+C24+C25</f>
        <v>574460</v>
      </c>
      <c r="D13" s="69">
        <f t="shared" si="2"/>
        <v>310560</v>
      </c>
      <c r="E13" s="69">
        <f t="shared" si="2"/>
        <v>263900</v>
      </c>
      <c r="F13" s="69">
        <f t="shared" si="2"/>
        <v>31100</v>
      </c>
      <c r="G13" s="69">
        <f t="shared" si="2"/>
        <v>22100</v>
      </c>
      <c r="H13" s="69">
        <f t="shared" si="2"/>
        <v>52150</v>
      </c>
      <c r="I13" s="69">
        <f t="shared" si="2"/>
        <v>31950</v>
      </c>
      <c r="J13" s="69">
        <f t="shared" si="2"/>
        <v>28550</v>
      </c>
      <c r="K13" s="69">
        <f t="shared" si="2"/>
        <v>28550</v>
      </c>
      <c r="L13" s="69">
        <f t="shared" si="2"/>
        <v>33500</v>
      </c>
      <c r="M13" s="69">
        <f t="shared" si="2"/>
        <v>36000</v>
      </c>
    </row>
    <row r="14" spans="1:14" s="43" customFormat="1" ht="0.75" customHeight="1">
      <c r="A14" s="92" t="s">
        <v>54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2"/>
    </row>
    <row r="15" spans="1:14" s="43" customFormat="1" ht="15.75" hidden="1">
      <c r="A15" s="102" t="s">
        <v>55</v>
      </c>
      <c r="B15" s="10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2"/>
    </row>
    <row r="16" spans="1:14" s="43" customFormat="1" ht="15.75" hidden="1">
      <c r="A16" s="102" t="s">
        <v>56</v>
      </c>
      <c r="B16" s="103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2"/>
    </row>
    <row r="17" spans="1:14" s="44" customFormat="1" ht="15.75">
      <c r="A17" s="92" t="s">
        <v>57</v>
      </c>
      <c r="B17" s="77">
        <v>511130</v>
      </c>
      <c r="C17" s="77">
        <f aca="true" t="shared" si="3" ref="C17:M17">C18+C23</f>
        <v>572460</v>
      </c>
      <c r="D17" s="77">
        <f t="shared" si="3"/>
        <v>308560</v>
      </c>
      <c r="E17" s="77">
        <f t="shared" si="3"/>
        <v>263900</v>
      </c>
      <c r="F17" s="77">
        <f t="shared" si="3"/>
        <v>31100</v>
      </c>
      <c r="G17" s="77">
        <f t="shared" si="3"/>
        <v>22100</v>
      </c>
      <c r="H17" s="77">
        <f t="shared" si="3"/>
        <v>52150</v>
      </c>
      <c r="I17" s="77">
        <f t="shared" si="3"/>
        <v>31950</v>
      </c>
      <c r="J17" s="77">
        <f t="shared" si="3"/>
        <v>28550</v>
      </c>
      <c r="K17" s="77">
        <f t="shared" si="3"/>
        <v>28550</v>
      </c>
      <c r="L17" s="77">
        <f t="shared" si="3"/>
        <v>33500</v>
      </c>
      <c r="M17" s="77">
        <f t="shared" si="3"/>
        <v>36000</v>
      </c>
      <c r="N17" s="42"/>
    </row>
    <row r="18" spans="1:14" s="44" customFormat="1" ht="15.75">
      <c r="A18" s="92" t="s">
        <v>132</v>
      </c>
      <c r="B18" s="77"/>
      <c r="C18" s="77">
        <f>D18+E18</f>
        <v>545460</v>
      </c>
      <c r="D18" s="77">
        <f>D19+D20+D21+D22</f>
        <v>281560</v>
      </c>
      <c r="E18" s="77">
        <f aca="true" t="shared" si="4" ref="E18:M18">SUM(E19:E22)</f>
        <v>263900</v>
      </c>
      <c r="F18" s="77">
        <f t="shared" si="4"/>
        <v>31100</v>
      </c>
      <c r="G18" s="77">
        <f t="shared" si="4"/>
        <v>22100</v>
      </c>
      <c r="H18" s="77">
        <f t="shared" si="4"/>
        <v>52150</v>
      </c>
      <c r="I18" s="77">
        <f t="shared" si="4"/>
        <v>31950</v>
      </c>
      <c r="J18" s="77">
        <f t="shared" si="4"/>
        <v>28550</v>
      </c>
      <c r="K18" s="77">
        <f t="shared" si="4"/>
        <v>28550</v>
      </c>
      <c r="L18" s="77">
        <f t="shared" si="4"/>
        <v>33500</v>
      </c>
      <c r="M18" s="77">
        <f t="shared" si="4"/>
        <v>36000</v>
      </c>
      <c r="N18" s="42"/>
    </row>
    <row r="19" spans="1:14" s="43" customFormat="1" ht="15.75">
      <c r="A19" s="102" t="s">
        <v>58</v>
      </c>
      <c r="B19" s="103"/>
      <c r="C19" s="77">
        <v>251960</v>
      </c>
      <c r="D19" s="77">
        <f>C19-E19</f>
        <v>141660</v>
      </c>
      <c r="E19" s="77">
        <f>SUM(F19:M19)</f>
        <v>110300</v>
      </c>
      <c r="F19" s="77">
        <v>14000</v>
      </c>
      <c r="G19" s="77">
        <v>14000</v>
      </c>
      <c r="H19" s="77">
        <v>21500</v>
      </c>
      <c r="I19" s="77">
        <v>11400</v>
      </c>
      <c r="J19" s="77">
        <v>9600</v>
      </c>
      <c r="K19" s="77">
        <v>12400</v>
      </c>
      <c r="L19" s="77">
        <v>18200</v>
      </c>
      <c r="M19" s="77">
        <v>9200</v>
      </c>
      <c r="N19" s="45"/>
    </row>
    <row r="20" spans="1:14" s="43" customFormat="1" ht="15.75">
      <c r="A20" s="102" t="s">
        <v>59</v>
      </c>
      <c r="B20" s="103"/>
      <c r="C20" s="77">
        <v>149500</v>
      </c>
      <c r="D20" s="77">
        <f>C20-E20</f>
        <v>97600</v>
      </c>
      <c r="E20" s="77">
        <f>SUM(F20:M20)</f>
        <v>51900</v>
      </c>
      <c r="F20" s="77">
        <v>0</v>
      </c>
      <c r="G20" s="77">
        <v>0</v>
      </c>
      <c r="H20" s="77">
        <v>10850</v>
      </c>
      <c r="I20" s="77">
        <v>13350</v>
      </c>
      <c r="J20" s="77">
        <v>15350</v>
      </c>
      <c r="K20" s="77">
        <v>9850</v>
      </c>
      <c r="L20" s="77">
        <v>0</v>
      </c>
      <c r="M20" s="77">
        <v>2500</v>
      </c>
      <c r="N20" s="45"/>
    </row>
    <row r="21" spans="1:14" s="43" customFormat="1" ht="15.75">
      <c r="A21" s="102" t="s">
        <v>104</v>
      </c>
      <c r="B21" s="103"/>
      <c r="C21" s="77">
        <f aca="true" t="shared" si="5" ref="C21:C34">D21+E21</f>
        <v>0</v>
      </c>
      <c r="D21" s="77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45"/>
    </row>
    <row r="22" spans="1:14" s="43" customFormat="1" ht="15.75">
      <c r="A22" s="102" t="s">
        <v>60</v>
      </c>
      <c r="B22" s="103"/>
      <c r="C22" s="77">
        <f t="shared" si="5"/>
        <v>144000</v>
      </c>
      <c r="D22" s="77">
        <f>'Du toan Thu (1)'!C54-4700</f>
        <v>42300</v>
      </c>
      <c r="E22" s="77">
        <f>SUM(F22:M22)</f>
        <v>101700</v>
      </c>
      <c r="F22" s="77">
        <f>'Du toan Thu (1)'!E54-1900</f>
        <v>17100</v>
      </c>
      <c r="G22" s="77">
        <f>'Du toan Thu (1)'!F54-900</f>
        <v>8100</v>
      </c>
      <c r="H22" s="77">
        <f>'Du toan Thu (1)'!G54-2200</f>
        <v>19800</v>
      </c>
      <c r="I22" s="77">
        <f>'Du toan Thu (1)'!H54-800</f>
        <v>7200</v>
      </c>
      <c r="J22" s="77">
        <f>'Du toan Thu (1)'!I54-400</f>
        <v>3600</v>
      </c>
      <c r="K22" s="77">
        <f>'Du toan Thu (1)'!J54-700</f>
        <v>6300</v>
      </c>
      <c r="L22" s="77">
        <f>'Du toan Thu (1)'!K54-1700</f>
        <v>15300</v>
      </c>
      <c r="M22" s="77">
        <f>'Du toan Thu (1)'!L54-2700</f>
        <v>24300</v>
      </c>
      <c r="N22" s="45"/>
    </row>
    <row r="23" spans="1:14" s="44" customFormat="1" ht="15.75">
      <c r="A23" s="92" t="s">
        <v>133</v>
      </c>
      <c r="B23" s="77"/>
      <c r="C23" s="77">
        <f t="shared" si="5"/>
        <v>27000</v>
      </c>
      <c r="D23" s="77">
        <v>27000</v>
      </c>
      <c r="E23" s="77"/>
      <c r="F23" s="77"/>
      <c r="G23" s="77"/>
      <c r="H23" s="77"/>
      <c r="I23" s="77"/>
      <c r="J23" s="77"/>
      <c r="K23" s="77"/>
      <c r="L23" s="77"/>
      <c r="M23" s="77"/>
      <c r="N23" s="42"/>
    </row>
    <row r="24" spans="1:14" ht="33" customHeight="1">
      <c r="A24" s="93" t="s">
        <v>135</v>
      </c>
      <c r="B24" s="87">
        <v>0</v>
      </c>
      <c r="C24" s="88">
        <v>0</v>
      </c>
      <c r="D24" s="87">
        <v>0</v>
      </c>
      <c r="E24" s="77"/>
      <c r="F24" s="87"/>
      <c r="G24" s="87"/>
      <c r="H24" s="87"/>
      <c r="I24" s="87"/>
      <c r="J24" s="87"/>
      <c r="K24" s="87"/>
      <c r="L24" s="87"/>
      <c r="M24" s="87"/>
      <c r="N24" s="42"/>
    </row>
    <row r="25" spans="1:14" ht="15.75">
      <c r="A25" s="93" t="s">
        <v>61</v>
      </c>
      <c r="B25" s="87">
        <v>2000</v>
      </c>
      <c r="C25" s="88">
        <f t="shared" si="5"/>
        <v>2000</v>
      </c>
      <c r="D25" s="87">
        <v>2000</v>
      </c>
      <c r="E25" s="77"/>
      <c r="F25" s="87"/>
      <c r="G25" s="87"/>
      <c r="H25" s="87"/>
      <c r="I25" s="87"/>
      <c r="J25" s="87"/>
      <c r="K25" s="87"/>
      <c r="L25" s="87"/>
      <c r="M25" s="87"/>
      <c r="N25" s="42"/>
    </row>
    <row r="26" spans="1:13" s="42" customFormat="1" ht="15.75">
      <c r="A26" s="68" t="s">
        <v>62</v>
      </c>
      <c r="B26" s="69">
        <v>1070830</v>
      </c>
      <c r="C26" s="69">
        <f t="shared" si="5"/>
        <v>1279908</v>
      </c>
      <c r="D26" s="69">
        <f aca="true" t="shared" si="6" ref="D26:M26">D27+D28+D35+SUM(D39:D44)+D49+D52</f>
        <v>449757</v>
      </c>
      <c r="E26" s="69">
        <f t="shared" si="6"/>
        <v>830151</v>
      </c>
      <c r="F26" s="69">
        <f t="shared" si="6"/>
        <v>80014</v>
      </c>
      <c r="G26" s="69">
        <f t="shared" si="6"/>
        <v>96073</v>
      </c>
      <c r="H26" s="69">
        <f t="shared" si="6"/>
        <v>183492</v>
      </c>
      <c r="I26" s="69">
        <f t="shared" si="6"/>
        <v>107926</v>
      </c>
      <c r="J26" s="69">
        <f t="shared" si="6"/>
        <v>58834</v>
      </c>
      <c r="K26" s="69">
        <f t="shared" si="6"/>
        <v>120558</v>
      </c>
      <c r="L26" s="69">
        <f t="shared" si="6"/>
        <v>112934</v>
      </c>
      <c r="M26" s="69">
        <f t="shared" si="6"/>
        <v>70320</v>
      </c>
    </row>
    <row r="27" spans="1:14" s="47" customFormat="1" ht="15.75">
      <c r="A27" s="94" t="s">
        <v>63</v>
      </c>
      <c r="B27" s="77"/>
      <c r="C27" s="77">
        <f t="shared" si="5"/>
        <v>2616</v>
      </c>
      <c r="D27" s="77">
        <v>2616</v>
      </c>
      <c r="E27" s="89">
        <f>SUM(F27:M27)</f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46"/>
    </row>
    <row r="28" spans="1:13" s="48" customFormat="1" ht="15.75">
      <c r="A28" s="95" t="s">
        <v>64</v>
      </c>
      <c r="B28" s="80">
        <v>108438</v>
      </c>
      <c r="C28" s="77">
        <f t="shared" si="5"/>
        <v>140682</v>
      </c>
      <c r="D28" s="77">
        <f>SUM(D29:D32)</f>
        <v>72808</v>
      </c>
      <c r="E28" s="80">
        <f>SUM(F28:M28)</f>
        <v>67874</v>
      </c>
      <c r="F28" s="80">
        <f>SUM(F29:F32)</f>
        <v>10831</v>
      </c>
      <c r="G28" s="80">
        <f aca="true" t="shared" si="7" ref="G28:M28">SUM(G29:G32)</f>
        <v>9520</v>
      </c>
      <c r="H28" s="80">
        <f t="shared" si="7"/>
        <v>12367</v>
      </c>
      <c r="I28" s="80">
        <f t="shared" si="7"/>
        <v>6824</v>
      </c>
      <c r="J28" s="80">
        <f t="shared" si="7"/>
        <v>4327</v>
      </c>
      <c r="K28" s="80">
        <f>SUM(K29:K32)</f>
        <v>8074</v>
      </c>
      <c r="L28" s="80">
        <f t="shared" si="7"/>
        <v>8293</v>
      </c>
      <c r="M28" s="80">
        <f t="shared" si="7"/>
        <v>7638</v>
      </c>
    </row>
    <row r="29" spans="1:14" s="50" customFormat="1" ht="15.75">
      <c r="A29" s="104" t="s">
        <v>134</v>
      </c>
      <c r="B29" s="105"/>
      <c r="C29" s="77">
        <f t="shared" si="5"/>
        <v>54363</v>
      </c>
      <c r="D29" s="77">
        <f>14603+24982</f>
        <v>39585</v>
      </c>
      <c r="E29" s="80">
        <f aca="true" t="shared" si="8" ref="E29:E34">SUM(F29:M29)</f>
        <v>14778</v>
      </c>
      <c r="F29" s="80">
        <f>312-31</f>
        <v>281</v>
      </c>
      <c r="G29" s="80">
        <f>4028-403</f>
        <v>3625</v>
      </c>
      <c r="H29" s="80">
        <f>3090-309</f>
        <v>2781</v>
      </c>
      <c r="I29" s="80">
        <f>2993-180-281</f>
        <v>2532</v>
      </c>
      <c r="J29" s="80">
        <f>1560-156</f>
        <v>1404</v>
      </c>
      <c r="K29" s="80">
        <f>3130-68-306</f>
        <v>2756</v>
      </c>
      <c r="L29" s="80">
        <f>1195-120</f>
        <v>1075</v>
      </c>
      <c r="M29" s="80">
        <f>360-36</f>
        <v>324</v>
      </c>
      <c r="N29" s="49"/>
    </row>
    <row r="30" spans="1:14" s="50" customFormat="1" ht="15.75">
      <c r="A30" s="104" t="s">
        <v>65</v>
      </c>
      <c r="B30" s="105"/>
      <c r="C30" s="77">
        <f t="shared" si="5"/>
        <v>14061</v>
      </c>
      <c r="D30" s="77">
        <f>2211+5000</f>
        <v>7211</v>
      </c>
      <c r="E30" s="80">
        <f t="shared" si="8"/>
        <v>6850</v>
      </c>
      <c r="F30" s="80">
        <f>959-96</f>
        <v>863</v>
      </c>
      <c r="G30" s="80">
        <f>866-87</f>
        <v>779</v>
      </c>
      <c r="H30" s="80">
        <f>2220-222</f>
        <v>1998</v>
      </c>
      <c r="I30" s="80">
        <f>550-33-52</f>
        <v>465</v>
      </c>
      <c r="J30" s="80">
        <f>520-52</f>
        <v>468</v>
      </c>
      <c r="K30" s="80">
        <f>1190-46-114</f>
        <v>1030</v>
      </c>
      <c r="L30" s="80">
        <f>1026-103</f>
        <v>923</v>
      </c>
      <c r="M30" s="80">
        <f>360-36</f>
        <v>324</v>
      </c>
      <c r="N30" s="49"/>
    </row>
    <row r="31" spans="1:14" s="50" customFormat="1" ht="15.75">
      <c r="A31" s="104" t="s">
        <v>66</v>
      </c>
      <c r="B31" s="105"/>
      <c r="C31" s="77">
        <f t="shared" si="5"/>
        <v>27090</v>
      </c>
      <c r="D31" s="77">
        <v>0</v>
      </c>
      <c r="E31" s="80">
        <f t="shared" si="8"/>
        <v>27090</v>
      </c>
      <c r="F31" s="80">
        <f>7080-248</f>
        <v>6832</v>
      </c>
      <c r="G31" s="80">
        <f>3173-111</f>
        <v>3062</v>
      </c>
      <c r="H31" s="80">
        <f>4440-155</f>
        <v>4285</v>
      </c>
      <c r="I31" s="80">
        <f>2362-50-81</f>
        <v>2231</v>
      </c>
      <c r="J31" s="80">
        <f>1194-42</f>
        <v>1152</v>
      </c>
      <c r="K31" s="80">
        <f>2916-61-100</f>
        <v>2755</v>
      </c>
      <c r="L31" s="80">
        <f>4070-142</f>
        <v>3928</v>
      </c>
      <c r="M31" s="80">
        <f>2948-103</f>
        <v>2845</v>
      </c>
      <c r="N31" s="51"/>
    </row>
    <row r="32" spans="1:14" s="50" customFormat="1" ht="15.75">
      <c r="A32" s="104" t="s">
        <v>67</v>
      </c>
      <c r="B32" s="105"/>
      <c r="C32" s="77">
        <f t="shared" si="5"/>
        <v>45168</v>
      </c>
      <c r="D32" s="80">
        <f>D33+D34</f>
        <v>26012</v>
      </c>
      <c r="E32" s="80">
        <f t="shared" si="8"/>
        <v>19156</v>
      </c>
      <c r="F32" s="80">
        <f>F33+F34</f>
        <v>2855</v>
      </c>
      <c r="G32" s="80">
        <f aca="true" t="shared" si="9" ref="G32:M32">G33+G34</f>
        <v>2054</v>
      </c>
      <c r="H32" s="80">
        <f t="shared" si="9"/>
        <v>3303</v>
      </c>
      <c r="I32" s="80">
        <f t="shared" si="9"/>
        <v>1596</v>
      </c>
      <c r="J32" s="80">
        <f t="shared" si="9"/>
        <v>1303</v>
      </c>
      <c r="K32" s="80">
        <f t="shared" si="9"/>
        <v>1533</v>
      </c>
      <c r="L32" s="80">
        <f t="shared" si="9"/>
        <v>2367</v>
      </c>
      <c r="M32" s="80">
        <f t="shared" si="9"/>
        <v>4145</v>
      </c>
      <c r="N32" s="49"/>
    </row>
    <row r="33" spans="1:13" s="67" customFormat="1" ht="15.75">
      <c r="A33" s="95" t="s">
        <v>136</v>
      </c>
      <c r="B33" s="80"/>
      <c r="C33" s="80">
        <f t="shared" si="5"/>
        <v>29843</v>
      </c>
      <c r="D33" s="80">
        <f>20954+358</f>
        <v>21312</v>
      </c>
      <c r="E33" s="80">
        <f t="shared" si="8"/>
        <v>8531</v>
      </c>
      <c r="F33" s="80">
        <f>1272-129</f>
        <v>1143</v>
      </c>
      <c r="G33" s="80">
        <f>982-98</f>
        <v>884</v>
      </c>
      <c r="H33" s="80">
        <f>1470-150</f>
        <v>1320</v>
      </c>
      <c r="I33" s="80">
        <f>973-97</f>
        <v>876</v>
      </c>
      <c r="J33" s="80">
        <f>946-93</f>
        <v>853</v>
      </c>
      <c r="K33" s="80">
        <f>1003-100</f>
        <v>903</v>
      </c>
      <c r="L33" s="80">
        <f>930-93</f>
        <v>837</v>
      </c>
      <c r="M33" s="80">
        <f>1906-191</f>
        <v>1715</v>
      </c>
    </row>
    <row r="34" spans="1:13" s="67" customFormat="1" ht="15.75">
      <c r="A34" s="95" t="s">
        <v>137</v>
      </c>
      <c r="B34" s="80"/>
      <c r="C34" s="80">
        <f t="shared" si="5"/>
        <v>15325</v>
      </c>
      <c r="D34" s="80">
        <v>4700</v>
      </c>
      <c r="E34" s="80">
        <f t="shared" si="8"/>
        <v>10625</v>
      </c>
      <c r="F34" s="80">
        <f>1900-188</f>
        <v>1712</v>
      </c>
      <c r="G34" s="80">
        <f>1300-130</f>
        <v>1170</v>
      </c>
      <c r="H34" s="80">
        <f>2200-217</f>
        <v>1983</v>
      </c>
      <c r="I34" s="80">
        <f>800-80</f>
        <v>720</v>
      </c>
      <c r="J34" s="80">
        <f>500-50</f>
        <v>450</v>
      </c>
      <c r="K34" s="80">
        <f>700-70</f>
        <v>630</v>
      </c>
      <c r="L34" s="80">
        <f>1700-170</f>
        <v>1530</v>
      </c>
      <c r="M34" s="80">
        <f>2700-270</f>
        <v>2430</v>
      </c>
    </row>
    <row r="35" spans="1:14" s="48" customFormat="1" ht="15.75">
      <c r="A35" s="95" t="s">
        <v>68</v>
      </c>
      <c r="B35" s="80">
        <v>504799</v>
      </c>
      <c r="C35" s="77">
        <f>E35+D35</f>
        <v>605000</v>
      </c>
      <c r="D35" s="77">
        <f>D36+D37+D38</f>
        <v>133343</v>
      </c>
      <c r="E35" s="80">
        <f>SUM(F35:M35)</f>
        <v>471657</v>
      </c>
      <c r="F35" s="80">
        <f>F36+F37+F38</f>
        <v>42037</v>
      </c>
      <c r="G35" s="80">
        <f aca="true" t="shared" si="10" ref="G35:M35">G36+G37+G38</f>
        <v>53453</v>
      </c>
      <c r="H35" s="80">
        <f t="shared" si="10"/>
        <v>122535</v>
      </c>
      <c r="I35" s="80">
        <f t="shared" si="10"/>
        <v>54484</v>
      </c>
      <c r="J35" s="80">
        <f t="shared" si="10"/>
        <v>30359</v>
      </c>
      <c r="K35" s="80">
        <f t="shared" si="10"/>
        <v>69225</v>
      </c>
      <c r="L35" s="80">
        <f t="shared" si="10"/>
        <v>64795</v>
      </c>
      <c r="M35" s="80">
        <f t="shared" si="10"/>
        <v>34769</v>
      </c>
      <c r="N35" s="52"/>
    </row>
    <row r="36" spans="1:14" s="67" customFormat="1" ht="15.75">
      <c r="A36" s="104" t="s">
        <v>69</v>
      </c>
      <c r="B36" s="105"/>
      <c r="C36" s="80">
        <f aca="true" t="shared" si="11" ref="C36:C55">D36+E36</f>
        <v>545983</v>
      </c>
      <c r="D36" s="80">
        <v>94442</v>
      </c>
      <c r="E36" s="80">
        <f>SUM(F36:M36)</f>
        <v>451541</v>
      </c>
      <c r="F36" s="80">
        <f>37673+500+3064-825</f>
        <v>40412</v>
      </c>
      <c r="G36" s="80">
        <f>52453-1049</f>
        <v>51404</v>
      </c>
      <c r="H36" s="80">
        <f>120035+500-2411</f>
        <v>118124</v>
      </c>
      <c r="I36" s="80">
        <f>52984-1060</f>
        <v>51924</v>
      </c>
      <c r="J36" s="80">
        <f>29559-591</f>
        <v>28968</v>
      </c>
      <c r="K36" s="80">
        <f>66225+1000-1345</f>
        <v>65880</v>
      </c>
      <c r="L36" s="80">
        <f>62995-1260</f>
        <v>61735</v>
      </c>
      <c r="M36" s="80">
        <f>33569+200-675</f>
        <v>33094</v>
      </c>
      <c r="N36" s="66"/>
    </row>
    <row r="37" spans="1:14" s="67" customFormat="1" ht="15.75">
      <c r="A37" s="104" t="s">
        <v>70</v>
      </c>
      <c r="B37" s="105"/>
      <c r="C37" s="80">
        <f t="shared" si="11"/>
        <v>37801</v>
      </c>
      <c r="D37" s="80">
        <v>27283</v>
      </c>
      <c r="E37" s="80">
        <f>SUM(F37:M37)</f>
        <v>10518</v>
      </c>
      <c r="F37" s="80">
        <f>800-28</f>
        <v>772</v>
      </c>
      <c r="G37" s="80">
        <f>1000-35</f>
        <v>965</v>
      </c>
      <c r="H37" s="80">
        <f>2000-70</f>
        <v>1930</v>
      </c>
      <c r="I37" s="80">
        <f>1500-53</f>
        <v>1447</v>
      </c>
      <c r="J37" s="80">
        <f>800-28</f>
        <v>772</v>
      </c>
      <c r="K37" s="80">
        <f>2000-70</f>
        <v>1930</v>
      </c>
      <c r="L37" s="80">
        <f>1800-63</f>
        <v>1737</v>
      </c>
      <c r="M37" s="80">
        <f>1000-35</f>
        <v>965</v>
      </c>
      <c r="N37" s="66"/>
    </row>
    <row r="38" spans="1:14" s="67" customFormat="1" ht="30">
      <c r="A38" s="109" t="s">
        <v>138</v>
      </c>
      <c r="B38" s="80"/>
      <c r="C38" s="80">
        <f t="shared" si="11"/>
        <v>21216</v>
      </c>
      <c r="D38" s="80">
        <f>11618</f>
        <v>11618</v>
      </c>
      <c r="E38" s="80">
        <f>SUM(F38:M38)</f>
        <v>9598</v>
      </c>
      <c r="F38" s="80">
        <f>825+28</f>
        <v>853</v>
      </c>
      <c r="G38" s="80">
        <f>1049+35</f>
        <v>1084</v>
      </c>
      <c r="H38" s="80">
        <f>2411+70</f>
        <v>2481</v>
      </c>
      <c r="I38" s="80">
        <f>1060+53</f>
        <v>1113</v>
      </c>
      <c r="J38" s="80">
        <f>591+28</f>
        <v>619</v>
      </c>
      <c r="K38" s="80">
        <f>1345+70</f>
        <v>1415</v>
      </c>
      <c r="L38" s="80">
        <f>1260+63</f>
        <v>1323</v>
      </c>
      <c r="M38" s="80">
        <f>675+35</f>
        <v>710</v>
      </c>
      <c r="N38" s="66"/>
    </row>
    <row r="39" spans="1:14" s="47" customFormat="1" ht="15.75">
      <c r="A39" s="94" t="s">
        <v>71</v>
      </c>
      <c r="B39" s="77">
        <v>87377</v>
      </c>
      <c r="C39" s="80">
        <f t="shared" si="11"/>
        <v>116146</v>
      </c>
      <c r="D39" s="80">
        <v>57457</v>
      </c>
      <c r="E39" s="80">
        <f aca="true" t="shared" si="12" ref="E39:E51">SUM(F39:M39)</f>
        <v>58689</v>
      </c>
      <c r="F39" s="80">
        <f>4200-147</f>
        <v>4053</v>
      </c>
      <c r="G39" s="80">
        <f>5500+500-210</f>
        <v>5790</v>
      </c>
      <c r="H39" s="80">
        <f>12320+500-449</f>
        <v>12371</v>
      </c>
      <c r="I39" s="80">
        <f>9418-330</f>
        <v>9088</v>
      </c>
      <c r="J39" s="80">
        <f>3941-138</f>
        <v>3803</v>
      </c>
      <c r="K39" s="80">
        <f>9019-316</f>
        <v>8703</v>
      </c>
      <c r="L39" s="80">
        <f>9722-340</f>
        <v>9382</v>
      </c>
      <c r="M39" s="80">
        <f>5698-199</f>
        <v>5499</v>
      </c>
      <c r="N39" s="46"/>
    </row>
    <row r="40" spans="1:14" s="47" customFormat="1" ht="15.75">
      <c r="A40" s="94" t="s">
        <v>87</v>
      </c>
      <c r="B40" s="77"/>
      <c r="C40" s="77">
        <f t="shared" si="11"/>
        <v>19301</v>
      </c>
      <c r="D40" s="77">
        <v>19301</v>
      </c>
      <c r="E40" s="80">
        <f t="shared" si="12"/>
        <v>0</v>
      </c>
      <c r="F40" s="80"/>
      <c r="G40" s="80"/>
      <c r="H40" s="80"/>
      <c r="I40" s="80"/>
      <c r="J40" s="80"/>
      <c r="K40" s="80"/>
      <c r="L40" s="80"/>
      <c r="M40" s="80"/>
      <c r="N40" s="46"/>
    </row>
    <row r="41" spans="1:14" s="47" customFormat="1" ht="15.75">
      <c r="A41" s="94" t="s">
        <v>139</v>
      </c>
      <c r="B41" s="77"/>
      <c r="C41" s="77">
        <f t="shared" si="11"/>
        <v>27331</v>
      </c>
      <c r="D41" s="77">
        <v>17191</v>
      </c>
      <c r="E41" s="80">
        <f t="shared" si="12"/>
        <v>10140</v>
      </c>
      <c r="F41" s="80">
        <f>1277-45</f>
        <v>1232</v>
      </c>
      <c r="G41" s="80">
        <f>1041-36</f>
        <v>1005</v>
      </c>
      <c r="H41" s="80">
        <f>1750-61</f>
        <v>1689</v>
      </c>
      <c r="I41" s="80">
        <f>1622-57</f>
        <v>1565</v>
      </c>
      <c r="J41" s="80">
        <f>674-24</f>
        <v>650</v>
      </c>
      <c r="K41" s="80">
        <f>1680-59</f>
        <v>1621</v>
      </c>
      <c r="L41" s="80">
        <f>1660-58</f>
        <v>1602</v>
      </c>
      <c r="M41" s="80">
        <f>804-28</f>
        <v>776</v>
      </c>
      <c r="N41" s="46"/>
    </row>
    <row r="42" spans="1:14" s="47" customFormat="1" ht="15.75">
      <c r="A42" s="94" t="s">
        <v>72</v>
      </c>
      <c r="B42" s="77"/>
      <c r="C42" s="77">
        <f t="shared" si="11"/>
        <v>14459</v>
      </c>
      <c r="D42" s="77">
        <v>11683</v>
      </c>
      <c r="E42" s="80">
        <f t="shared" si="12"/>
        <v>2776</v>
      </c>
      <c r="F42" s="80">
        <f>355-12</f>
        <v>343</v>
      </c>
      <c r="G42" s="80">
        <f>273-10</f>
        <v>263</v>
      </c>
      <c r="H42" s="80">
        <f>585-20</f>
        <v>565</v>
      </c>
      <c r="I42" s="80">
        <f>423-15</f>
        <v>408</v>
      </c>
      <c r="J42" s="80">
        <f>170-6</f>
        <v>164</v>
      </c>
      <c r="K42" s="80">
        <f>424-15</f>
        <v>409</v>
      </c>
      <c r="L42" s="80">
        <f>430-15</f>
        <v>415</v>
      </c>
      <c r="M42" s="80">
        <f>217-8</f>
        <v>209</v>
      </c>
      <c r="N42" s="46"/>
    </row>
    <row r="43" spans="1:14" s="47" customFormat="1" ht="15.75">
      <c r="A43" s="94" t="s">
        <v>73</v>
      </c>
      <c r="B43" s="77"/>
      <c r="C43" s="77">
        <f t="shared" si="11"/>
        <v>21758</v>
      </c>
      <c r="D43" s="77">
        <f>7637+2000+3000</f>
        <v>12637</v>
      </c>
      <c r="E43" s="80">
        <f t="shared" si="12"/>
        <v>9121</v>
      </c>
      <c r="F43" s="80">
        <v>600</v>
      </c>
      <c r="G43" s="80">
        <v>784</v>
      </c>
      <c r="H43" s="80">
        <v>2645</v>
      </c>
      <c r="I43" s="80">
        <v>1237</v>
      </c>
      <c r="J43" s="80">
        <v>524</v>
      </c>
      <c r="K43" s="80">
        <v>1421</v>
      </c>
      <c r="L43" s="80">
        <v>1265</v>
      </c>
      <c r="M43" s="80">
        <v>645</v>
      </c>
      <c r="N43" s="46"/>
    </row>
    <row r="44" spans="1:14" s="47" customFormat="1" ht="15.75">
      <c r="A44" s="94" t="s">
        <v>74</v>
      </c>
      <c r="B44" s="77">
        <v>246758</v>
      </c>
      <c r="C44" s="77">
        <f t="shared" si="11"/>
        <v>285237</v>
      </c>
      <c r="D44" s="77">
        <f>SUM(D45:D48)</f>
        <v>107270</v>
      </c>
      <c r="E44" s="80">
        <f t="shared" si="12"/>
        <v>177967</v>
      </c>
      <c r="F44" s="80">
        <f>17964+500+327+300+520-686</f>
        <v>18925</v>
      </c>
      <c r="G44" s="80">
        <f>20212+347+700-743</f>
        <v>20516</v>
      </c>
      <c r="H44" s="80">
        <f>25677+628-921</f>
        <v>25384</v>
      </c>
      <c r="I44" s="80">
        <f>26847+798+800-996</f>
        <v>27449</v>
      </c>
      <c r="J44" s="80">
        <f>15229-533</f>
        <v>14696</v>
      </c>
      <c r="K44" s="80">
        <f>28811-1008</f>
        <v>27803</v>
      </c>
      <c r="L44" s="80">
        <f>23827+800+110-866</f>
        <v>23871</v>
      </c>
      <c r="M44" s="80">
        <f>18424+320+780+500-701</f>
        <v>19323</v>
      </c>
      <c r="N44" s="46"/>
    </row>
    <row r="45" spans="1:14" s="53" customFormat="1" ht="15.75" customHeight="1">
      <c r="A45" s="106" t="s">
        <v>75</v>
      </c>
      <c r="B45" s="103"/>
      <c r="C45" s="77">
        <f t="shared" si="11"/>
        <v>64507</v>
      </c>
      <c r="D45" s="77">
        <v>64507</v>
      </c>
      <c r="E45" s="80">
        <f t="shared" si="12"/>
        <v>0</v>
      </c>
      <c r="F45" s="80"/>
      <c r="G45" s="80"/>
      <c r="H45" s="80"/>
      <c r="I45" s="80"/>
      <c r="J45" s="80"/>
      <c r="K45" s="80"/>
      <c r="L45" s="80"/>
      <c r="M45" s="80"/>
      <c r="N45" s="46"/>
    </row>
    <row r="46" spans="1:14" s="55" customFormat="1" ht="15.75" customHeight="1">
      <c r="A46" s="107" t="s">
        <v>140</v>
      </c>
      <c r="B46" s="108"/>
      <c r="C46" s="77">
        <f t="shared" si="11"/>
        <v>28173</v>
      </c>
      <c r="D46" s="77">
        <v>28173</v>
      </c>
      <c r="E46" s="80">
        <f t="shared" si="12"/>
        <v>0</v>
      </c>
      <c r="F46" s="80"/>
      <c r="G46" s="80"/>
      <c r="H46" s="80"/>
      <c r="I46" s="80"/>
      <c r="J46" s="80"/>
      <c r="K46" s="80"/>
      <c r="L46" s="80"/>
      <c r="M46" s="80"/>
      <c r="N46" s="54"/>
    </row>
    <row r="47" spans="1:14" s="55" customFormat="1" ht="15.75">
      <c r="A47" s="107" t="s">
        <v>117</v>
      </c>
      <c r="B47" s="108"/>
      <c r="C47" s="77">
        <f t="shared" si="11"/>
        <v>10000</v>
      </c>
      <c r="D47" s="77">
        <v>10000</v>
      </c>
      <c r="E47" s="80">
        <v>0</v>
      </c>
      <c r="F47" s="80"/>
      <c r="G47" s="80"/>
      <c r="H47" s="80"/>
      <c r="I47" s="80"/>
      <c r="J47" s="80"/>
      <c r="K47" s="80"/>
      <c r="L47" s="80"/>
      <c r="M47" s="80"/>
      <c r="N47" s="54"/>
    </row>
    <row r="48" spans="1:14" s="53" customFormat="1" ht="15.75">
      <c r="A48" s="106" t="s">
        <v>118</v>
      </c>
      <c r="B48" s="103"/>
      <c r="C48" s="77">
        <f t="shared" si="11"/>
        <v>4590</v>
      </c>
      <c r="D48" s="77">
        <v>4590</v>
      </c>
      <c r="E48" s="80">
        <f t="shared" si="12"/>
        <v>0</v>
      </c>
      <c r="F48" s="80"/>
      <c r="G48" s="80"/>
      <c r="H48" s="80"/>
      <c r="I48" s="80"/>
      <c r="J48" s="80"/>
      <c r="K48" s="80"/>
      <c r="L48" s="80"/>
      <c r="M48" s="80"/>
      <c r="N48" s="46"/>
    </row>
    <row r="49" spans="1:14" s="47" customFormat="1" ht="15.75">
      <c r="A49" s="94" t="s">
        <v>76</v>
      </c>
      <c r="B49" s="77">
        <v>30487</v>
      </c>
      <c r="C49" s="77">
        <f t="shared" si="11"/>
        <v>36357</v>
      </c>
      <c r="D49" s="77">
        <f>D50+D51</f>
        <v>12451</v>
      </c>
      <c r="E49" s="80">
        <f t="shared" si="12"/>
        <v>23906</v>
      </c>
      <c r="F49" s="80">
        <f aca="true" t="shared" si="13" ref="F49:M49">F50+F51</f>
        <v>1678</v>
      </c>
      <c r="G49" s="80">
        <f t="shared" si="13"/>
        <v>3198</v>
      </c>
      <c r="H49" s="80">
        <f t="shared" si="13"/>
        <v>4918</v>
      </c>
      <c r="I49" s="80">
        <f t="shared" si="13"/>
        <v>4932</v>
      </c>
      <c r="J49" s="80">
        <f t="shared" si="13"/>
        <v>2865</v>
      </c>
      <c r="K49" s="80">
        <f t="shared" si="13"/>
        <v>2229</v>
      </c>
      <c r="L49" s="80">
        <f t="shared" si="13"/>
        <v>2893</v>
      </c>
      <c r="M49" s="80">
        <f t="shared" si="13"/>
        <v>1193</v>
      </c>
      <c r="N49" s="46"/>
    </row>
    <row r="50" spans="1:14" s="53" customFormat="1" ht="15.75">
      <c r="A50" s="106" t="s">
        <v>77</v>
      </c>
      <c r="B50" s="103"/>
      <c r="C50" s="77">
        <f t="shared" si="11"/>
        <v>20472</v>
      </c>
      <c r="D50" s="77">
        <f>1000+10451</f>
        <v>11451</v>
      </c>
      <c r="E50" s="80">
        <f t="shared" si="12"/>
        <v>9021</v>
      </c>
      <c r="F50" s="80">
        <f>500+300+20-82</f>
        <v>738</v>
      </c>
      <c r="G50" s="80">
        <f>1095+50-115</f>
        <v>1030</v>
      </c>
      <c r="H50" s="80">
        <f>1665-167</f>
        <v>1498</v>
      </c>
      <c r="I50" s="80">
        <f>2208+70-228</f>
        <v>2050</v>
      </c>
      <c r="J50" s="80">
        <f>1139-114</f>
        <v>1025</v>
      </c>
      <c r="K50" s="80">
        <f>1100-110</f>
        <v>990</v>
      </c>
      <c r="L50" s="80">
        <f>980+100+140-122</f>
        <v>1098</v>
      </c>
      <c r="M50" s="80">
        <f>426+118+114-66</f>
        <v>592</v>
      </c>
      <c r="N50" s="46"/>
    </row>
    <row r="51" spans="1:14" s="53" customFormat="1" ht="15.75">
      <c r="A51" s="106" t="s">
        <v>78</v>
      </c>
      <c r="B51" s="103"/>
      <c r="C51" s="77">
        <f t="shared" si="11"/>
        <v>15885</v>
      </c>
      <c r="D51" s="77">
        <v>1000</v>
      </c>
      <c r="E51" s="80">
        <f t="shared" si="12"/>
        <v>14885</v>
      </c>
      <c r="F51" s="80">
        <f>650+395-105</f>
        <v>940</v>
      </c>
      <c r="G51" s="80">
        <f>1959+450-241</f>
        <v>2168</v>
      </c>
      <c r="H51" s="80">
        <f>2800+1000-380</f>
        <v>3420</v>
      </c>
      <c r="I51" s="80">
        <f>3202-320</f>
        <v>2882</v>
      </c>
      <c r="J51" s="80">
        <f>1245+800-205</f>
        <v>1840</v>
      </c>
      <c r="K51" s="80">
        <f>1377-138</f>
        <v>1239</v>
      </c>
      <c r="L51" s="80">
        <f>1994-199</f>
        <v>1795</v>
      </c>
      <c r="M51" s="80">
        <f>667-66</f>
        <v>601</v>
      </c>
      <c r="N51" s="46"/>
    </row>
    <row r="52" spans="1:14" s="47" customFormat="1" ht="14.25" customHeight="1">
      <c r="A52" s="94" t="s">
        <v>79</v>
      </c>
      <c r="B52" s="77">
        <v>24479</v>
      </c>
      <c r="C52" s="77">
        <f>D52+E52</f>
        <v>11021</v>
      </c>
      <c r="D52" s="77">
        <v>3000</v>
      </c>
      <c r="E52" s="77">
        <f>SUM(F52:M52)</f>
        <v>8021</v>
      </c>
      <c r="F52" s="77">
        <f>350-35</f>
        <v>315</v>
      </c>
      <c r="G52" s="77">
        <f>1716-172</f>
        <v>1544</v>
      </c>
      <c r="H52" s="77">
        <f>1131-113</f>
        <v>1018</v>
      </c>
      <c r="I52" s="77">
        <f>2152-213</f>
        <v>1939</v>
      </c>
      <c r="J52" s="77">
        <f>1607-161</f>
        <v>1446</v>
      </c>
      <c r="K52" s="77">
        <f>1192-119</f>
        <v>1073</v>
      </c>
      <c r="L52" s="77">
        <f>464-46</f>
        <v>418</v>
      </c>
      <c r="M52" s="77">
        <f>298-30</f>
        <v>268</v>
      </c>
      <c r="N52" s="46"/>
    </row>
    <row r="53" spans="1:14" s="56" customFormat="1" ht="31.5">
      <c r="A53" s="96" t="s">
        <v>141</v>
      </c>
      <c r="B53" s="70"/>
      <c r="C53" s="70">
        <f t="shared" si="11"/>
        <v>0</v>
      </c>
      <c r="D53" s="70">
        <v>0</v>
      </c>
      <c r="E53" s="73">
        <f aca="true" t="shared" si="14" ref="E53:E65">SUM(F53:M53)</f>
        <v>0</v>
      </c>
      <c r="F53" s="73"/>
      <c r="G53" s="73"/>
      <c r="H53" s="73"/>
      <c r="I53" s="73"/>
      <c r="J53" s="73"/>
      <c r="K53" s="73"/>
      <c r="L53" s="73"/>
      <c r="M53" s="73"/>
      <c r="N53" s="42"/>
    </row>
    <row r="54" spans="1:13" s="42" customFormat="1" ht="15.75">
      <c r="A54" s="68" t="s">
        <v>80</v>
      </c>
      <c r="B54" s="69">
        <v>1000</v>
      </c>
      <c r="C54" s="70">
        <f t="shared" si="11"/>
        <v>1000</v>
      </c>
      <c r="D54" s="69">
        <v>1000</v>
      </c>
      <c r="E54" s="73">
        <f t="shared" si="14"/>
        <v>0</v>
      </c>
      <c r="F54" s="74"/>
      <c r="G54" s="74"/>
      <c r="H54" s="74"/>
      <c r="I54" s="74"/>
      <c r="J54" s="74"/>
      <c r="K54" s="74"/>
      <c r="L54" s="74"/>
      <c r="M54" s="74"/>
    </row>
    <row r="55" spans="1:13" s="42" customFormat="1" ht="15.75">
      <c r="A55" s="68" t="s">
        <v>81</v>
      </c>
      <c r="B55" s="69">
        <v>79526</v>
      </c>
      <c r="C55" s="70">
        <f t="shared" si="11"/>
        <v>107804</v>
      </c>
      <c r="D55" s="69">
        <f>101804+6000</f>
        <v>107804</v>
      </c>
      <c r="E55" s="73">
        <f t="shared" si="14"/>
        <v>0</v>
      </c>
      <c r="F55" s="74">
        <v>0</v>
      </c>
      <c r="G55" s="74"/>
      <c r="H55" s="74"/>
      <c r="I55" s="74"/>
      <c r="J55" s="74"/>
      <c r="K55" s="74"/>
      <c r="L55" s="74"/>
      <c r="M55" s="74"/>
    </row>
    <row r="56" spans="1:13" s="42" customFormat="1" ht="15.75">
      <c r="A56" s="68" t="s">
        <v>82</v>
      </c>
      <c r="B56" s="69"/>
      <c r="C56" s="70">
        <f>D56+E56</f>
        <v>0</v>
      </c>
      <c r="D56" s="69"/>
      <c r="E56" s="73">
        <f t="shared" si="14"/>
        <v>0</v>
      </c>
      <c r="F56" s="74"/>
      <c r="G56" s="74"/>
      <c r="H56" s="74"/>
      <c r="I56" s="74"/>
      <c r="J56" s="74"/>
      <c r="K56" s="74"/>
      <c r="L56" s="74"/>
      <c r="M56" s="74"/>
    </row>
    <row r="57" spans="1:13" s="71" customFormat="1" ht="15.75">
      <c r="A57" s="68" t="s">
        <v>83</v>
      </c>
      <c r="B57" s="69">
        <v>37072</v>
      </c>
      <c r="C57" s="70">
        <f>D57+E57</f>
        <v>47680</v>
      </c>
      <c r="D57" s="69">
        <v>24462</v>
      </c>
      <c r="E57" s="70">
        <f t="shared" si="14"/>
        <v>23218</v>
      </c>
      <c r="F57" s="69">
        <v>2075</v>
      </c>
      <c r="G57" s="69">
        <v>2795</v>
      </c>
      <c r="H57" s="69">
        <v>5215</v>
      </c>
      <c r="I57" s="69">
        <v>3048</v>
      </c>
      <c r="J57" s="69">
        <v>1460</v>
      </c>
      <c r="K57" s="69">
        <v>3558</v>
      </c>
      <c r="L57" s="69">
        <v>3161</v>
      </c>
      <c r="M57" s="69">
        <v>1906</v>
      </c>
    </row>
    <row r="58" spans="1:13" s="71" customFormat="1" ht="31.5">
      <c r="A58" s="96" t="s">
        <v>142</v>
      </c>
      <c r="B58" s="72"/>
      <c r="C58" s="69">
        <f>D58+E58</f>
        <v>60252</v>
      </c>
      <c r="D58" s="69">
        <f>157857+135385-157467-104591+1000+4000+6000-43</f>
        <v>42141</v>
      </c>
      <c r="E58" s="69">
        <f t="shared" si="14"/>
        <v>18111</v>
      </c>
      <c r="F58" s="69">
        <f>2657-F38</f>
        <v>1804</v>
      </c>
      <c r="G58" s="69">
        <f>3440-G38</f>
        <v>2356</v>
      </c>
      <c r="H58" s="69">
        <f>5645-H38</f>
        <v>3164</v>
      </c>
      <c r="I58" s="69">
        <f>3863-I38</f>
        <v>2750</v>
      </c>
      <c r="J58" s="69">
        <f>2193-J38</f>
        <v>1574</v>
      </c>
      <c r="K58" s="69">
        <f>3870-K38</f>
        <v>2455</v>
      </c>
      <c r="L58" s="69">
        <f>3597-L38</f>
        <v>2274</v>
      </c>
      <c r="M58" s="69">
        <f>2444-M38</f>
        <v>1734</v>
      </c>
    </row>
    <row r="59" spans="1:13" s="71" customFormat="1" ht="15.75">
      <c r="A59" s="68" t="s">
        <v>84</v>
      </c>
      <c r="B59" s="69">
        <v>148000</v>
      </c>
      <c r="C59" s="69">
        <f>SUM(C60:C65)</f>
        <v>190000</v>
      </c>
      <c r="D59" s="69">
        <f>SUM(D60:D65)</f>
        <v>119800</v>
      </c>
      <c r="E59" s="73">
        <f t="shared" si="14"/>
        <v>70200</v>
      </c>
      <c r="F59" s="74">
        <f aca="true" t="shared" si="15" ref="F59:M59">SUM(F60:F65)</f>
        <v>5200</v>
      </c>
      <c r="G59" s="74">
        <f t="shared" si="15"/>
        <v>5200</v>
      </c>
      <c r="H59" s="74">
        <f t="shared" si="15"/>
        <v>11800</v>
      </c>
      <c r="I59" s="74">
        <f t="shared" si="15"/>
        <v>7800</v>
      </c>
      <c r="J59" s="74">
        <f t="shared" si="15"/>
        <v>3200</v>
      </c>
      <c r="K59" s="74">
        <f t="shared" si="15"/>
        <v>9600</v>
      </c>
      <c r="L59" s="74">
        <f t="shared" si="15"/>
        <v>19800</v>
      </c>
      <c r="M59" s="74">
        <f t="shared" si="15"/>
        <v>7600</v>
      </c>
    </row>
    <row r="60" spans="1:13" s="71" customFormat="1" ht="15.75">
      <c r="A60" s="75" t="s">
        <v>110</v>
      </c>
      <c r="B60" s="76"/>
      <c r="C60" s="77">
        <f aca="true" t="shared" si="16" ref="C60:C65">D60+E60</f>
        <v>52000</v>
      </c>
      <c r="D60" s="78">
        <f>'Du toan Thu (1)'!C88</f>
        <v>52000</v>
      </c>
      <c r="E60" s="79">
        <f t="shared" si="14"/>
        <v>0</v>
      </c>
      <c r="F60" s="80">
        <f>'Du toan Thu (1)'!E88</f>
        <v>0</v>
      </c>
      <c r="G60" s="80">
        <f>'Du toan Thu (1)'!F88</f>
        <v>0</v>
      </c>
      <c r="H60" s="80">
        <f>'Du toan Thu (1)'!G88</f>
        <v>0</v>
      </c>
      <c r="I60" s="80">
        <f>'Du toan Thu (1)'!H88</f>
        <v>0</v>
      </c>
      <c r="J60" s="80">
        <f>'Du toan Thu (1)'!I88</f>
        <v>0</v>
      </c>
      <c r="K60" s="80">
        <f>'Du toan Thu (1)'!J88</f>
        <v>0</v>
      </c>
      <c r="L60" s="80">
        <f>'Du toan Thu (1)'!K88</f>
        <v>0</v>
      </c>
      <c r="M60" s="80">
        <f>'Du toan Thu (1)'!L88</f>
        <v>0</v>
      </c>
    </row>
    <row r="61" spans="1:14" s="12" customFormat="1" ht="15.75">
      <c r="A61" s="75" t="s">
        <v>111</v>
      </c>
      <c r="B61" s="76"/>
      <c r="C61" s="77">
        <f t="shared" si="16"/>
        <v>12300</v>
      </c>
      <c r="D61" s="78">
        <f>'Du toan Thu (1)'!C89</f>
        <v>5200</v>
      </c>
      <c r="E61" s="79">
        <f t="shared" si="14"/>
        <v>7100</v>
      </c>
      <c r="F61" s="80">
        <f>'Du toan Thu (1)'!E89</f>
        <v>1050</v>
      </c>
      <c r="G61" s="80">
        <f>'Du toan Thu (1)'!F89</f>
        <v>1050</v>
      </c>
      <c r="H61" s="80">
        <f>'Du toan Thu (1)'!G89</f>
        <v>1150</v>
      </c>
      <c r="I61" s="80">
        <f>'Du toan Thu (1)'!H89</f>
        <v>750</v>
      </c>
      <c r="J61" s="80">
        <f>'Du toan Thu (1)'!I89</f>
        <v>400</v>
      </c>
      <c r="K61" s="80">
        <f>'Du toan Thu (1)'!J89</f>
        <v>850</v>
      </c>
      <c r="L61" s="80">
        <f>'Du toan Thu (1)'!K89</f>
        <v>1250</v>
      </c>
      <c r="M61" s="80">
        <f>'Du toan Thu (1)'!L89</f>
        <v>600</v>
      </c>
      <c r="N61" s="71"/>
    </row>
    <row r="62" spans="1:14" s="12" customFormat="1" ht="15.75">
      <c r="A62" s="75" t="s">
        <v>112</v>
      </c>
      <c r="B62" s="76"/>
      <c r="C62" s="77">
        <f t="shared" si="16"/>
        <v>48600</v>
      </c>
      <c r="D62" s="78">
        <f>'Du toan Thu (1)'!C90</f>
        <v>29500</v>
      </c>
      <c r="E62" s="79">
        <f t="shared" si="14"/>
        <v>19100</v>
      </c>
      <c r="F62" s="80">
        <f>'Du toan Thu (1)'!E90</f>
        <v>900</v>
      </c>
      <c r="G62" s="80">
        <f>'Du toan Thu (1)'!F90</f>
        <v>300</v>
      </c>
      <c r="H62" s="80">
        <f>'Du toan Thu (1)'!G90</f>
        <v>2600</v>
      </c>
      <c r="I62" s="80">
        <f>'Du toan Thu (1)'!H90</f>
        <v>2550</v>
      </c>
      <c r="J62" s="80">
        <f>'Du toan Thu (1)'!I90</f>
        <v>950</v>
      </c>
      <c r="K62" s="80">
        <f>'Du toan Thu (1)'!J90</f>
        <v>3900</v>
      </c>
      <c r="L62" s="80">
        <f>'Du toan Thu (1)'!K90</f>
        <v>5600</v>
      </c>
      <c r="M62" s="80">
        <f>'Du toan Thu (1)'!L90</f>
        <v>2300</v>
      </c>
      <c r="N62" s="71"/>
    </row>
    <row r="63" spans="1:14" s="12" customFormat="1" ht="15.75">
      <c r="A63" s="75" t="s">
        <v>51</v>
      </c>
      <c r="B63" s="76"/>
      <c r="C63" s="77">
        <f t="shared" si="16"/>
        <v>18200</v>
      </c>
      <c r="D63" s="78">
        <f>'Du toan Thu (1)'!C91</f>
        <v>0</v>
      </c>
      <c r="E63" s="79">
        <f t="shared" si="14"/>
        <v>18200</v>
      </c>
      <c r="F63" s="80">
        <f>'Du toan Thu (1)'!E91</f>
        <v>1100</v>
      </c>
      <c r="G63" s="80">
        <f>'Du toan Thu (1)'!F91</f>
        <v>750</v>
      </c>
      <c r="H63" s="80">
        <f>'Du toan Thu (1)'!G91</f>
        <v>4400</v>
      </c>
      <c r="I63" s="80">
        <f>'Du toan Thu (1)'!H91</f>
        <v>1800</v>
      </c>
      <c r="J63" s="80">
        <f>'Du toan Thu (1)'!I91</f>
        <v>350</v>
      </c>
      <c r="K63" s="80">
        <f>'Du toan Thu (1)'!J91</f>
        <v>1150</v>
      </c>
      <c r="L63" s="80">
        <f>'Du toan Thu (1)'!K91</f>
        <v>6750</v>
      </c>
      <c r="M63" s="80">
        <f>'Du toan Thu (1)'!L91</f>
        <v>1900</v>
      </c>
      <c r="N63" s="71"/>
    </row>
    <row r="64" spans="1:14" s="12" customFormat="1" ht="15.75">
      <c r="A64" s="75" t="s">
        <v>113</v>
      </c>
      <c r="B64" s="76"/>
      <c r="C64" s="77">
        <f t="shared" si="16"/>
        <v>5700</v>
      </c>
      <c r="D64" s="78">
        <f>'Du toan Thu (1)'!C92</f>
        <v>2000</v>
      </c>
      <c r="E64" s="79">
        <f t="shared" si="14"/>
        <v>3700</v>
      </c>
      <c r="F64" s="80">
        <f>'Du toan Thu (1)'!E92</f>
        <v>950</v>
      </c>
      <c r="G64" s="80">
        <f>'Du toan Thu (1)'!F92</f>
        <v>130</v>
      </c>
      <c r="H64" s="80">
        <f>'Du toan Thu (1)'!G92</f>
        <v>900</v>
      </c>
      <c r="I64" s="80">
        <f>'Du toan Thu (1)'!H92</f>
        <v>160</v>
      </c>
      <c r="J64" s="80">
        <f>'Du toan Thu (1)'!I92</f>
        <v>200</v>
      </c>
      <c r="K64" s="80">
        <f>'Du toan Thu (1)'!J92</f>
        <v>500</v>
      </c>
      <c r="L64" s="80">
        <f>'Du toan Thu (1)'!K92</f>
        <v>700</v>
      </c>
      <c r="M64" s="80">
        <f>'Du toan Thu (1)'!L92</f>
        <v>160</v>
      </c>
      <c r="N64" s="71"/>
    </row>
    <row r="65" spans="1:14" s="12" customFormat="1" ht="18.75" customHeight="1">
      <c r="A65" s="81" t="s">
        <v>114</v>
      </c>
      <c r="B65" s="82"/>
      <c r="C65" s="83">
        <f t="shared" si="16"/>
        <v>53200</v>
      </c>
      <c r="D65" s="83">
        <f>'Du toan Thu (1)'!C93</f>
        <v>31100</v>
      </c>
      <c r="E65" s="83">
        <f t="shared" si="14"/>
        <v>22100</v>
      </c>
      <c r="F65" s="84">
        <f>'Du toan Thu (1)'!E93</f>
        <v>1200</v>
      </c>
      <c r="G65" s="84">
        <f>'Du toan Thu (1)'!F93</f>
        <v>2970</v>
      </c>
      <c r="H65" s="84">
        <f>'Du toan Thu (1)'!G93</f>
        <v>2750</v>
      </c>
      <c r="I65" s="84">
        <f>'Du toan Thu (1)'!H93</f>
        <v>2540</v>
      </c>
      <c r="J65" s="84">
        <f>'Du toan Thu (1)'!I93</f>
        <v>1300</v>
      </c>
      <c r="K65" s="84">
        <f>'Du toan Thu (1)'!J93</f>
        <v>3200</v>
      </c>
      <c r="L65" s="84">
        <f>'Du toan Thu (1)'!K93</f>
        <v>5500</v>
      </c>
      <c r="M65" s="84">
        <f>'Du toan Thu (1)'!L93</f>
        <v>2640</v>
      </c>
      <c r="N65" s="71"/>
    </row>
    <row r="66" spans="2:13" s="44" customFormat="1" ht="15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44" customFormat="1" ht="18.75" customHeight="1">
      <c r="A67" s="135"/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</row>
    <row r="68" s="44" customFormat="1" ht="15.75">
      <c r="C68" s="40"/>
    </row>
    <row r="69" s="44" customFormat="1" ht="15.75">
      <c r="C69" s="40"/>
    </row>
    <row r="70" s="44" customFormat="1" ht="15.75">
      <c r="C70" s="40"/>
    </row>
    <row r="71" s="44" customFormat="1" ht="15.75" hidden="1">
      <c r="C71" s="40"/>
    </row>
    <row r="72" s="44" customFormat="1" ht="15.75" hidden="1">
      <c r="C72" s="40"/>
    </row>
    <row r="73" s="44" customFormat="1" ht="19.5" customHeight="1" hidden="1">
      <c r="C73" s="57"/>
    </row>
    <row r="74" spans="3:13" s="44" customFormat="1" ht="15.75" hidden="1">
      <c r="C74" s="58">
        <v>572600</v>
      </c>
      <c r="D74" s="44">
        <f aca="true" t="shared" si="17" ref="D74:M74">D65/D11*100</f>
        <v>2.9464038714420515</v>
      </c>
      <c r="E74" s="44">
        <f t="shared" si="17"/>
        <v>1.833142553791536</v>
      </c>
      <c r="F74" s="44">
        <f t="shared" si="17"/>
        <v>0.9983942492491243</v>
      </c>
      <c r="G74" s="44">
        <f t="shared" si="17"/>
        <v>2.310852447791852</v>
      </c>
      <c r="H74" s="44">
        <f t="shared" si="17"/>
        <v>1.0749703894519995</v>
      </c>
      <c r="I74" s="44">
        <f t="shared" si="17"/>
        <v>1.6550034533536626</v>
      </c>
      <c r="J74" s="44">
        <f t="shared" si="17"/>
        <v>1.3886218462261533</v>
      </c>
      <c r="K74" s="44">
        <f t="shared" si="17"/>
        <v>1.9426788326928563</v>
      </c>
      <c r="L74" s="44">
        <f t="shared" si="17"/>
        <v>3.2038399478065345</v>
      </c>
      <c r="M74" s="44">
        <f t="shared" si="17"/>
        <v>2.2456617897243962</v>
      </c>
    </row>
    <row r="75" spans="3:14" s="44" customFormat="1" ht="15.75" hidden="1">
      <c r="C75" s="44">
        <f>D75+E75</f>
        <v>506814</v>
      </c>
      <c r="D75" s="44">
        <v>211331</v>
      </c>
      <c r="E75" s="44">
        <f>254677+40806</f>
        <v>295483</v>
      </c>
      <c r="F75" s="44">
        <f>25093+2617+1000</f>
        <v>28710</v>
      </c>
      <c r="G75" s="44">
        <f>26691+3490+1000</f>
        <v>31181</v>
      </c>
      <c r="H75" s="44">
        <f>46567+9250+1100</f>
        <v>56917</v>
      </c>
      <c r="I75" s="44">
        <f>34186+5359+1000</f>
        <v>40545</v>
      </c>
      <c r="J75" s="44">
        <f>27737+2237+213</f>
        <v>30187</v>
      </c>
      <c r="K75" s="44">
        <f>35881+6433+1000</f>
        <v>43314</v>
      </c>
      <c r="L75" s="44">
        <f>35198+7079+1700</f>
        <v>43977</v>
      </c>
      <c r="M75" s="44">
        <f>23324+4342+700</f>
        <v>28366</v>
      </c>
      <c r="N75" s="44">
        <f>SUM(F75:M75)</f>
        <v>303197</v>
      </c>
    </row>
    <row r="76" spans="3:14" s="44" customFormat="1" ht="15.75" hidden="1">
      <c r="C76" s="44">
        <f>D76+E76</f>
        <v>572600</v>
      </c>
      <c r="D76" s="44">
        <v>238800</v>
      </c>
      <c r="E76" s="44">
        <v>333800</v>
      </c>
      <c r="F76" s="44">
        <v>31600</v>
      </c>
      <c r="G76" s="44">
        <v>34300</v>
      </c>
      <c r="H76" s="44">
        <v>62600</v>
      </c>
      <c r="I76" s="44">
        <f>I75*110%</f>
        <v>44599.5</v>
      </c>
      <c r="J76" s="44">
        <v>33200</v>
      </c>
      <c r="K76" s="44">
        <v>47700</v>
      </c>
      <c r="L76" s="44">
        <v>48500</v>
      </c>
      <c r="M76" s="44">
        <v>31300</v>
      </c>
      <c r="N76" s="44">
        <f>SUM(F76:M76)</f>
        <v>333799.5</v>
      </c>
    </row>
    <row r="77" spans="3:13" s="44" customFormat="1" ht="15.75" hidden="1">
      <c r="C77" s="44">
        <f aca="true" t="shared" si="18" ref="C77:M77">C76/C11*100</f>
        <v>25.323912566604633</v>
      </c>
      <c r="D77" s="44">
        <f t="shared" si="18"/>
        <v>22.62383422830746</v>
      </c>
      <c r="E77" s="44">
        <f t="shared" si="18"/>
        <v>27.687917848670352</v>
      </c>
      <c r="F77" s="44">
        <f t="shared" si="18"/>
        <v>26.291048563560278</v>
      </c>
      <c r="G77" s="44">
        <f t="shared" si="18"/>
        <v>26.687622545205564</v>
      </c>
      <c r="H77" s="44">
        <f t="shared" si="18"/>
        <v>24.470235047161886</v>
      </c>
      <c r="I77" s="44">
        <f t="shared" si="18"/>
        <v>29.059971070018374</v>
      </c>
      <c r="J77" s="44">
        <f t="shared" si="18"/>
        <v>35.463265611314064</v>
      </c>
      <c r="K77" s="44">
        <f t="shared" si="18"/>
        <v>28.958056349827892</v>
      </c>
      <c r="L77" s="44">
        <f t="shared" si="18"/>
        <v>28.252043176112167</v>
      </c>
      <c r="M77" s="44">
        <f t="shared" si="18"/>
        <v>26.624702279686968</v>
      </c>
    </row>
    <row r="78" s="44" customFormat="1" ht="15.75" hidden="1">
      <c r="C78" s="44">
        <v>560500</v>
      </c>
    </row>
    <row r="79" spans="3:7" s="44" customFormat="1" ht="15.75" hidden="1">
      <c r="C79" s="44">
        <f>C78/C11*100</f>
        <v>24.78877574848393</v>
      </c>
      <c r="G79" s="59"/>
    </row>
    <row r="80" s="44" customFormat="1" ht="15.75" hidden="1"/>
    <row r="81" spans="5:13" s="44" customFormat="1" ht="15.75" hidden="1">
      <c r="E81" s="44">
        <f>SUM(F81:M81)</f>
        <v>3831</v>
      </c>
      <c r="F81" s="44">
        <f>'[1]PL6-B10 (3)'!C$22</f>
        <v>478</v>
      </c>
      <c r="G81" s="44">
        <f>'[1]PL6-B10 (3)'!D$22</f>
        <v>178</v>
      </c>
      <c r="H81" s="44">
        <f>'[1]PL6-B10 (3)'!E$22</f>
        <v>698</v>
      </c>
      <c r="I81" s="44">
        <f>'[1]PL6-B10 (3)'!F$22</f>
        <v>320</v>
      </c>
      <c r="J81" s="44">
        <f>'[1]PL6-B10 (3)'!G$22</f>
        <v>306</v>
      </c>
      <c r="K81" s="44">
        <f>'[1]PL6-B10 (3)'!H$22</f>
        <v>650</v>
      </c>
      <c r="L81" s="44">
        <f>'[1]PL6-B10 (3)'!I$22</f>
        <v>863</v>
      </c>
      <c r="M81" s="44">
        <f>'[1]PL6-B10 (3)'!J$22</f>
        <v>338</v>
      </c>
    </row>
    <row r="82" spans="5:13" s="44" customFormat="1" ht="15.75" hidden="1">
      <c r="E82" s="44">
        <f>SUM(F82:M82)</f>
        <v>3831</v>
      </c>
      <c r="F82" s="44">
        <f aca="true" t="shared" si="19" ref="F82:M82">F23+F81</f>
        <v>478</v>
      </c>
      <c r="G82" s="44">
        <f t="shared" si="19"/>
        <v>178</v>
      </c>
      <c r="H82" s="44">
        <f t="shared" si="19"/>
        <v>698</v>
      </c>
      <c r="I82" s="44">
        <f t="shared" si="19"/>
        <v>320</v>
      </c>
      <c r="J82" s="44">
        <f t="shared" si="19"/>
        <v>306</v>
      </c>
      <c r="K82" s="44">
        <f t="shared" si="19"/>
        <v>650</v>
      </c>
      <c r="L82" s="44">
        <f t="shared" si="19"/>
        <v>863</v>
      </c>
      <c r="M82" s="44">
        <f t="shared" si="19"/>
        <v>338</v>
      </c>
    </row>
    <row r="83" spans="5:13" s="44" customFormat="1" ht="15.75" hidden="1">
      <c r="E83" s="44">
        <f>SUM(F83:M83)</f>
        <v>9148.599999999999</v>
      </c>
      <c r="F83" s="44">
        <f aca="true" t="shared" si="20" ref="F83:M83">F30+F81*60%</f>
        <v>1149.8</v>
      </c>
      <c r="G83" s="44">
        <f t="shared" si="20"/>
        <v>885.8</v>
      </c>
      <c r="H83" s="44">
        <f t="shared" si="20"/>
        <v>2416.8</v>
      </c>
      <c r="I83" s="44">
        <f t="shared" si="20"/>
        <v>657</v>
      </c>
      <c r="J83" s="44">
        <f t="shared" si="20"/>
        <v>651.6</v>
      </c>
      <c r="K83" s="44">
        <f t="shared" si="20"/>
        <v>1420</v>
      </c>
      <c r="L83" s="44">
        <f t="shared" si="20"/>
        <v>1440.8</v>
      </c>
      <c r="M83" s="44">
        <f t="shared" si="20"/>
        <v>526.8</v>
      </c>
    </row>
    <row r="84" ht="18.75" hidden="1">
      <c r="C84" s="60"/>
    </row>
    <row r="85" ht="18.75" hidden="1">
      <c r="C85" s="61"/>
    </row>
    <row r="86" ht="16.5" hidden="1">
      <c r="C86" s="62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</sheetData>
  <mergeCells count="11">
    <mergeCell ref="A7:A9"/>
    <mergeCell ref="C7:C9"/>
    <mergeCell ref="B7:B9"/>
    <mergeCell ref="A67:M67"/>
    <mergeCell ref="A3:M3"/>
    <mergeCell ref="A4:M4"/>
    <mergeCell ref="D8:D9"/>
    <mergeCell ref="E8:E9"/>
    <mergeCell ref="F8:M8"/>
    <mergeCell ref="D7:M7"/>
    <mergeCell ref="A5:M5"/>
  </mergeCells>
  <printOptions horizontalCentered="1"/>
  <pageMargins left="0.5" right="0.5" top="0.75" bottom="0.5" header="0.5" footer="0.25"/>
  <pageSetup fitToHeight="2" fitToWidth="1" horizontalDpi="600" verticalDpi="600" orientation="landscape" paperSize="9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87"/>
  <sheetViews>
    <sheetView workbookViewId="0" topLeftCell="A3">
      <pane xSplit="1" ySplit="7" topLeftCell="F10" activePane="bottomRight" state="frozen"/>
      <selection pane="topLeft" activeCell="A3" sqref="A3"/>
      <selection pane="topRight" activeCell="B3" sqref="B3"/>
      <selection pane="bottomLeft" activeCell="A10" sqref="A10"/>
      <selection pane="bottomRight" activeCell="A18" sqref="A18"/>
    </sheetView>
  </sheetViews>
  <sheetFormatPr defaultColWidth="9.140625" defaultRowHeight="12.75"/>
  <cols>
    <col min="1" max="1" width="39.28125" style="1" customWidth="1"/>
    <col min="2" max="2" width="10.421875" style="1" customWidth="1"/>
    <col min="3" max="3" width="10.7109375" style="1" customWidth="1"/>
    <col min="4" max="4" width="11.57421875" style="1" customWidth="1"/>
    <col min="5" max="12" width="8.140625" style="1" customWidth="1"/>
    <col min="13" max="16384" width="9.140625" style="1" customWidth="1"/>
  </cols>
  <sheetData>
    <row r="1" ht="15.75" hidden="1">
      <c r="A1" s="3" t="s">
        <v>0</v>
      </c>
    </row>
    <row r="2" ht="15.75" hidden="1"/>
    <row r="3" spans="1:13" ht="22.5" customHeight="1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1"/>
    </row>
    <row r="4" spans="1:13" ht="18.75">
      <c r="A4" s="121" t="s">
        <v>105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1"/>
    </row>
    <row r="5" spans="1:13" ht="18.75">
      <c r="A5" s="142" t="s">
        <v>145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2" ht="18.75">
      <c r="A6" s="25"/>
      <c r="B6" s="25"/>
      <c r="C6" s="25"/>
      <c r="D6" s="25"/>
      <c r="E6" s="25"/>
      <c r="F6" s="25"/>
      <c r="G6" s="25"/>
      <c r="H6" s="25"/>
      <c r="I6" s="25"/>
      <c r="J6" s="112"/>
      <c r="K6" s="112"/>
      <c r="L6" s="113" t="s">
        <v>131</v>
      </c>
    </row>
    <row r="7" spans="1:12" ht="15.75" customHeight="1">
      <c r="A7" s="145" t="s">
        <v>1</v>
      </c>
      <c r="B7" s="145" t="s">
        <v>125</v>
      </c>
      <c r="C7" s="147" t="s">
        <v>2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12" s="10" customFormat="1" ht="15.75" customHeight="1">
      <c r="A8" s="146"/>
      <c r="B8" s="146"/>
      <c r="C8" s="145" t="s">
        <v>3</v>
      </c>
      <c r="D8" s="145" t="s">
        <v>4</v>
      </c>
      <c r="E8" s="150" t="s">
        <v>2</v>
      </c>
      <c r="F8" s="150"/>
      <c r="G8" s="150"/>
      <c r="H8" s="150"/>
      <c r="I8" s="150"/>
      <c r="J8" s="150"/>
      <c r="K8" s="150"/>
      <c r="L8" s="150"/>
    </row>
    <row r="9" spans="1:12" s="10" customFormat="1" ht="25.5">
      <c r="A9" s="146"/>
      <c r="B9" s="146"/>
      <c r="C9" s="145"/>
      <c r="D9" s="145"/>
      <c r="E9" s="124" t="s">
        <v>5</v>
      </c>
      <c r="F9" s="124" t="s">
        <v>6</v>
      </c>
      <c r="G9" s="124" t="s">
        <v>7</v>
      </c>
      <c r="H9" s="124" t="s">
        <v>8</v>
      </c>
      <c r="I9" s="124" t="s">
        <v>9</v>
      </c>
      <c r="J9" s="124" t="s">
        <v>10</v>
      </c>
      <c r="K9" s="124" t="s">
        <v>11</v>
      </c>
      <c r="L9" s="124" t="s">
        <v>12</v>
      </c>
    </row>
    <row r="10" spans="1:12" ht="15.75">
      <c r="A10" s="125">
        <v>1</v>
      </c>
      <c r="B10" s="125" t="s">
        <v>146</v>
      </c>
      <c r="C10" s="125">
        <v>3</v>
      </c>
      <c r="D10" s="125" t="s">
        <v>147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</row>
    <row r="11" spans="1:12" s="2" customFormat="1" ht="24.75" customHeight="1">
      <c r="A11" s="26" t="s">
        <v>13</v>
      </c>
      <c r="B11" s="34">
        <f aca="true" t="shared" si="0" ref="B11:L11">B12+B64</f>
        <v>1650000</v>
      </c>
      <c r="C11" s="34">
        <f t="shared" si="0"/>
        <v>1008200</v>
      </c>
      <c r="D11" s="34">
        <f t="shared" si="0"/>
        <v>641800</v>
      </c>
      <c r="E11" s="34">
        <f t="shared" si="0"/>
        <v>85000</v>
      </c>
      <c r="F11" s="34">
        <f t="shared" si="0"/>
        <v>63600</v>
      </c>
      <c r="G11" s="34">
        <f t="shared" si="0"/>
        <v>149100</v>
      </c>
      <c r="H11" s="34">
        <f t="shared" si="0"/>
        <v>66600</v>
      </c>
      <c r="I11" s="34">
        <f t="shared" si="0"/>
        <v>16800</v>
      </c>
      <c r="J11" s="34">
        <f t="shared" si="0"/>
        <v>80000</v>
      </c>
      <c r="K11" s="34">
        <f t="shared" si="0"/>
        <v>105200</v>
      </c>
      <c r="L11" s="34">
        <f t="shared" si="0"/>
        <v>75500</v>
      </c>
    </row>
    <row r="12" spans="1:12" s="3" customFormat="1" ht="15.75">
      <c r="A12" s="27" t="s">
        <v>14</v>
      </c>
      <c r="B12" s="35">
        <f>B13+B59+B62+B63</f>
        <v>1460000</v>
      </c>
      <c r="C12" s="35">
        <f>C13+C59+C62+C63</f>
        <v>888400</v>
      </c>
      <c r="D12" s="35">
        <f>SUM(D13:D18)</f>
        <v>571600</v>
      </c>
      <c r="E12" s="35">
        <f aca="true" t="shared" si="1" ref="E12:L12">E13+E59+E62+E63</f>
        <v>79800</v>
      </c>
      <c r="F12" s="35">
        <f t="shared" si="1"/>
        <v>58400</v>
      </c>
      <c r="G12" s="35">
        <f t="shared" si="1"/>
        <v>137300</v>
      </c>
      <c r="H12" s="35">
        <f t="shared" si="1"/>
        <v>58800</v>
      </c>
      <c r="I12" s="35">
        <f t="shared" si="1"/>
        <v>13600</v>
      </c>
      <c r="J12" s="35">
        <f t="shared" si="1"/>
        <v>70400</v>
      </c>
      <c r="K12" s="35">
        <f t="shared" si="1"/>
        <v>85400</v>
      </c>
      <c r="L12" s="35">
        <f t="shared" si="1"/>
        <v>67900</v>
      </c>
    </row>
    <row r="13" spans="1:12" s="3" customFormat="1" ht="15.75" customHeight="1">
      <c r="A13" s="27" t="s">
        <v>15</v>
      </c>
      <c r="B13" s="35">
        <f>B14+B21+B28+B38+B45+B46+B47+B48+B49+B50+B53+B54+B55+B56+B58+B57</f>
        <v>1446000</v>
      </c>
      <c r="C13" s="35">
        <f>C14+C21+C28+C38+C45+C46+C47+C48+C49+C50+C53+C54+C55+C56+C58+C57</f>
        <v>874400</v>
      </c>
      <c r="D13" s="35">
        <f aca="true" t="shared" si="2" ref="D13:L13">D14+D21+D28+D38+D45+D46+D47+D48+D49+D50+D53+D54+D55+D56+D58+D57</f>
        <v>571600</v>
      </c>
      <c r="E13" s="35">
        <f t="shared" si="2"/>
        <v>79800</v>
      </c>
      <c r="F13" s="35">
        <f t="shared" si="2"/>
        <v>58400</v>
      </c>
      <c r="G13" s="35">
        <f t="shared" si="2"/>
        <v>137300</v>
      </c>
      <c r="H13" s="35">
        <f t="shared" si="2"/>
        <v>58800</v>
      </c>
      <c r="I13" s="35">
        <f t="shared" si="2"/>
        <v>13600</v>
      </c>
      <c r="J13" s="35">
        <f t="shared" si="2"/>
        <v>70400</v>
      </c>
      <c r="K13" s="35">
        <f t="shared" si="2"/>
        <v>85400</v>
      </c>
      <c r="L13" s="35">
        <f t="shared" si="2"/>
        <v>67900</v>
      </c>
    </row>
    <row r="14" spans="1:12" s="6" customFormat="1" ht="21" customHeight="1">
      <c r="A14" s="114" t="s">
        <v>16</v>
      </c>
      <c r="B14" s="36">
        <f>B15+B16+B17+B18+B19+B20</f>
        <v>420000</v>
      </c>
      <c r="C14" s="36">
        <f>C15+C16+C17+C18+C19+C20</f>
        <v>420000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5.75">
      <c r="A15" s="115" t="s">
        <v>17</v>
      </c>
      <c r="B15" s="36">
        <f>C15+D15</f>
        <v>120250</v>
      </c>
      <c r="C15" s="36">
        <v>120250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.75">
      <c r="A16" s="28" t="s">
        <v>18</v>
      </c>
      <c r="B16" s="36">
        <f>C16+D16</f>
        <v>293500</v>
      </c>
      <c r="C16" s="36">
        <f>287500+6000</f>
        <v>293500</v>
      </c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.5" customHeight="1">
      <c r="A17" s="28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5.75">
      <c r="A18" s="29" t="s">
        <v>20</v>
      </c>
      <c r="B18" s="36">
        <f>C18+D18</f>
        <v>5850</v>
      </c>
      <c r="C18" s="36">
        <v>5850</v>
      </c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.75">
      <c r="A19" s="28" t="s">
        <v>21</v>
      </c>
      <c r="B19" s="36">
        <f aca="true" t="shared" si="3" ref="B19:B27">C19+D19</f>
        <v>190</v>
      </c>
      <c r="C19" s="36">
        <v>190</v>
      </c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5.75">
      <c r="A20" s="28" t="s">
        <v>50</v>
      </c>
      <c r="B20" s="36">
        <f t="shared" si="3"/>
        <v>210</v>
      </c>
      <c r="C20" s="36">
        <v>210</v>
      </c>
      <c r="D20" s="36"/>
      <c r="E20" s="36"/>
      <c r="F20" s="36"/>
      <c r="G20" s="36"/>
      <c r="H20" s="36"/>
      <c r="I20" s="36"/>
      <c r="J20" s="36"/>
      <c r="K20" s="36"/>
      <c r="L20" s="36"/>
    </row>
    <row r="21" spans="1:12" s="6" customFormat="1" ht="18" customHeight="1">
      <c r="A21" s="114" t="s">
        <v>22</v>
      </c>
      <c r="B21" s="36">
        <f t="shared" si="3"/>
        <v>160000</v>
      </c>
      <c r="C21" s="36">
        <f>C22+C23+C25+C26+C27</f>
        <v>160000</v>
      </c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.75">
      <c r="A22" s="115" t="s">
        <v>17</v>
      </c>
      <c r="B22" s="36">
        <f t="shared" si="3"/>
        <v>83100</v>
      </c>
      <c r="C22" s="36">
        <v>83100</v>
      </c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.75">
      <c r="A23" s="28" t="s">
        <v>18</v>
      </c>
      <c r="B23" s="36">
        <f t="shared" si="3"/>
        <v>56700</v>
      </c>
      <c r="C23" s="36">
        <v>56700</v>
      </c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.5" customHeight="1">
      <c r="A24" s="28" t="s">
        <v>19</v>
      </c>
      <c r="B24" s="36">
        <f t="shared" si="3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.75">
      <c r="A25" s="29" t="s">
        <v>20</v>
      </c>
      <c r="B25" s="36">
        <f t="shared" si="3"/>
        <v>19800</v>
      </c>
      <c r="C25" s="36">
        <v>19800</v>
      </c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.75">
      <c r="A26" s="28" t="s">
        <v>21</v>
      </c>
      <c r="B26" s="36">
        <f t="shared" si="3"/>
        <v>230</v>
      </c>
      <c r="C26" s="36">
        <v>230</v>
      </c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5.75">
      <c r="A27" s="28" t="s">
        <v>50</v>
      </c>
      <c r="B27" s="36">
        <f t="shared" si="3"/>
        <v>170</v>
      </c>
      <c r="C27" s="36">
        <v>170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1:12" s="6" customFormat="1" ht="25.5">
      <c r="A28" s="114" t="s">
        <v>23</v>
      </c>
      <c r="B28" s="36">
        <f>B29+B30+B31+B32+B33+B34+B35+B36+B37</f>
        <v>6800</v>
      </c>
      <c r="C28" s="36">
        <f>C29+C30+C31+C32+C33+C34+C35+C36+C37</f>
        <v>6800</v>
      </c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5.75">
      <c r="A29" s="115" t="s">
        <v>17</v>
      </c>
      <c r="B29" s="36">
        <f aca="true" t="shared" si="4" ref="B29:B37">C29+D29</f>
        <v>5330</v>
      </c>
      <c r="C29" s="36">
        <v>5330</v>
      </c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5.75">
      <c r="A30" s="28" t="s">
        <v>18</v>
      </c>
      <c r="B30" s="36">
        <f t="shared" si="4"/>
        <v>800</v>
      </c>
      <c r="C30" s="36">
        <v>800</v>
      </c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.75" customHeight="1" hidden="1">
      <c r="A31" s="28" t="s">
        <v>19</v>
      </c>
      <c r="B31" s="36">
        <f t="shared" si="4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0.75" customHeight="1">
      <c r="A32" s="29" t="s">
        <v>20</v>
      </c>
      <c r="B32" s="36">
        <f t="shared" si="4"/>
        <v>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.75">
      <c r="A33" s="28" t="s">
        <v>24</v>
      </c>
      <c r="B33" s="36">
        <f t="shared" si="4"/>
        <v>500</v>
      </c>
      <c r="C33" s="36">
        <v>500</v>
      </c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5.75" customHeight="1" hidden="1">
      <c r="A34" s="28" t="s">
        <v>25</v>
      </c>
      <c r="B34" s="36">
        <f t="shared" si="4"/>
        <v>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5.75" customHeight="1" hidden="1">
      <c r="A35" s="28" t="s">
        <v>26</v>
      </c>
      <c r="B35" s="36">
        <f t="shared" si="4"/>
        <v>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5.75">
      <c r="A36" s="28" t="s">
        <v>21</v>
      </c>
      <c r="B36" s="36">
        <f t="shared" si="4"/>
        <v>150</v>
      </c>
      <c r="C36" s="36">
        <v>150</v>
      </c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5.75">
      <c r="A37" s="28" t="s">
        <v>27</v>
      </c>
      <c r="B37" s="36">
        <f t="shared" si="4"/>
        <v>20</v>
      </c>
      <c r="C37" s="36">
        <v>20</v>
      </c>
      <c r="D37" s="36"/>
      <c r="E37" s="36"/>
      <c r="F37" s="36"/>
      <c r="G37" s="36"/>
      <c r="H37" s="36"/>
      <c r="I37" s="36"/>
      <c r="J37" s="36"/>
      <c r="K37" s="36"/>
      <c r="L37" s="36"/>
    </row>
    <row r="38" spans="1:12" s="38" customFormat="1" ht="25.5">
      <c r="A38" s="114" t="s">
        <v>148</v>
      </c>
      <c r="B38" s="36">
        <f aca="true" t="shared" si="5" ref="B38:L38">SUM(B39:B44)</f>
        <v>480000</v>
      </c>
      <c r="C38" s="36">
        <f t="shared" si="5"/>
        <v>175000</v>
      </c>
      <c r="D38" s="36">
        <f t="shared" si="5"/>
        <v>305000</v>
      </c>
      <c r="E38" s="36">
        <f t="shared" si="5"/>
        <v>31000</v>
      </c>
      <c r="F38" s="36">
        <f t="shared" si="5"/>
        <v>30500</v>
      </c>
      <c r="G38" s="36">
        <f t="shared" si="5"/>
        <v>93000</v>
      </c>
      <c r="H38" s="36">
        <f t="shared" si="5"/>
        <v>36000</v>
      </c>
      <c r="I38" s="36">
        <f t="shared" si="5"/>
        <v>5500</v>
      </c>
      <c r="J38" s="36">
        <f t="shared" si="5"/>
        <v>49000</v>
      </c>
      <c r="K38" s="36">
        <f t="shared" si="5"/>
        <v>42000</v>
      </c>
      <c r="L38" s="36">
        <f t="shared" si="5"/>
        <v>18000</v>
      </c>
    </row>
    <row r="39" spans="1:12" ht="15.75">
      <c r="A39" s="115" t="s">
        <v>17</v>
      </c>
      <c r="B39" s="36">
        <f aca="true" t="shared" si="6" ref="B39:B49">C39+D39</f>
        <v>437900</v>
      </c>
      <c r="C39" s="36">
        <v>165900</v>
      </c>
      <c r="D39" s="36">
        <f aca="true" t="shared" si="7" ref="D39:D48">SUM(E39:L39)</f>
        <v>272000</v>
      </c>
      <c r="E39" s="36">
        <v>23520</v>
      </c>
      <c r="F39" s="36">
        <v>27200</v>
      </c>
      <c r="G39" s="36">
        <v>86440</v>
      </c>
      <c r="H39" s="36">
        <v>33120</v>
      </c>
      <c r="I39" s="36">
        <v>4200</v>
      </c>
      <c r="J39" s="36">
        <v>46140</v>
      </c>
      <c r="K39" s="36">
        <v>37000</v>
      </c>
      <c r="L39" s="36">
        <v>14380</v>
      </c>
    </row>
    <row r="40" spans="1:12" ht="15.75">
      <c r="A40" s="28" t="s">
        <v>18</v>
      </c>
      <c r="B40" s="36">
        <f t="shared" si="6"/>
        <v>30500</v>
      </c>
      <c r="C40" s="36">
        <v>7000</v>
      </c>
      <c r="D40" s="36">
        <f t="shared" si="7"/>
        <v>23500</v>
      </c>
      <c r="E40" s="36">
        <v>6000</v>
      </c>
      <c r="F40" s="36">
        <v>2300</v>
      </c>
      <c r="G40" s="36">
        <v>4400</v>
      </c>
      <c r="H40" s="36">
        <v>1800</v>
      </c>
      <c r="I40" s="36">
        <v>700</v>
      </c>
      <c r="J40" s="36">
        <v>1800</v>
      </c>
      <c r="K40" s="36">
        <v>3700</v>
      </c>
      <c r="L40" s="36">
        <v>2800</v>
      </c>
    </row>
    <row r="41" spans="1:12" ht="15.75" customHeight="1">
      <c r="A41" s="28" t="s">
        <v>149</v>
      </c>
      <c r="B41" s="36">
        <f t="shared" si="6"/>
        <v>480</v>
      </c>
      <c r="C41" s="36"/>
      <c r="D41" s="36">
        <f t="shared" si="7"/>
        <v>480</v>
      </c>
      <c r="E41" s="36">
        <v>120</v>
      </c>
      <c r="F41" s="36">
        <v>10</v>
      </c>
      <c r="G41" s="36">
        <v>60</v>
      </c>
      <c r="H41" s="36">
        <v>60</v>
      </c>
      <c r="I41" s="36">
        <v>10</v>
      </c>
      <c r="J41" s="36">
        <v>30</v>
      </c>
      <c r="K41" s="36">
        <v>70</v>
      </c>
      <c r="L41" s="36">
        <v>120</v>
      </c>
    </row>
    <row r="42" spans="1:12" ht="15.75">
      <c r="A42" s="29" t="s">
        <v>20</v>
      </c>
      <c r="B42" s="36">
        <f t="shared" si="6"/>
        <v>1670</v>
      </c>
      <c r="C42" s="36">
        <v>500</v>
      </c>
      <c r="D42" s="36">
        <f t="shared" si="7"/>
        <v>1170</v>
      </c>
      <c r="E42" s="36">
        <v>140</v>
      </c>
      <c r="F42" s="36">
        <v>60</v>
      </c>
      <c r="G42" s="36">
        <v>100</v>
      </c>
      <c r="H42" s="36">
        <v>320</v>
      </c>
      <c r="I42" s="36">
        <v>180</v>
      </c>
      <c r="J42" s="36">
        <v>80</v>
      </c>
      <c r="K42" s="36">
        <v>240</v>
      </c>
      <c r="L42" s="36">
        <v>50</v>
      </c>
    </row>
    <row r="43" spans="1:12" ht="15.75">
      <c r="A43" s="28" t="s">
        <v>21</v>
      </c>
      <c r="B43" s="36">
        <f t="shared" si="6"/>
        <v>7280</v>
      </c>
      <c r="C43" s="36">
        <v>600</v>
      </c>
      <c r="D43" s="36">
        <f t="shared" si="7"/>
        <v>6680</v>
      </c>
      <c r="E43" s="36">
        <v>1080</v>
      </c>
      <c r="F43" s="36">
        <v>520</v>
      </c>
      <c r="G43" s="36">
        <v>1800</v>
      </c>
      <c r="H43" s="36">
        <v>630</v>
      </c>
      <c r="I43" s="36">
        <v>370</v>
      </c>
      <c r="J43" s="36">
        <v>880</v>
      </c>
      <c r="K43" s="36">
        <v>870</v>
      </c>
      <c r="L43" s="36">
        <v>530</v>
      </c>
    </row>
    <row r="44" spans="1:12" ht="15.75">
      <c r="A44" s="28" t="s">
        <v>28</v>
      </c>
      <c r="B44" s="36">
        <f t="shared" si="6"/>
        <v>2170</v>
      </c>
      <c r="C44" s="36">
        <v>1000</v>
      </c>
      <c r="D44" s="36">
        <f t="shared" si="7"/>
        <v>1170</v>
      </c>
      <c r="E44" s="36">
        <v>140</v>
      </c>
      <c r="F44" s="36">
        <v>410</v>
      </c>
      <c r="G44" s="36">
        <v>200</v>
      </c>
      <c r="H44" s="36">
        <v>70</v>
      </c>
      <c r="I44" s="36">
        <v>40</v>
      </c>
      <c r="J44" s="36">
        <v>70</v>
      </c>
      <c r="K44" s="36">
        <v>120</v>
      </c>
      <c r="L44" s="36">
        <v>120</v>
      </c>
    </row>
    <row r="45" spans="1:12" s="6" customFormat="1" ht="15.75">
      <c r="A45" s="114" t="s">
        <v>29</v>
      </c>
      <c r="B45" s="36">
        <f t="shared" si="6"/>
        <v>64500</v>
      </c>
      <c r="C45" s="36"/>
      <c r="D45" s="36">
        <f t="shared" si="7"/>
        <v>64500</v>
      </c>
      <c r="E45" s="36">
        <v>13700</v>
      </c>
      <c r="F45" s="36">
        <v>6650</v>
      </c>
      <c r="G45" s="36">
        <v>7750</v>
      </c>
      <c r="H45" s="36">
        <v>5900</v>
      </c>
      <c r="I45" s="36">
        <v>1250</v>
      </c>
      <c r="J45" s="36">
        <v>5900</v>
      </c>
      <c r="K45" s="36">
        <v>11450</v>
      </c>
      <c r="L45" s="36">
        <v>11900</v>
      </c>
    </row>
    <row r="46" spans="1:12" s="6" customFormat="1" ht="15.75">
      <c r="A46" s="114" t="s">
        <v>30</v>
      </c>
      <c r="B46" s="36">
        <f t="shared" si="6"/>
        <v>5500</v>
      </c>
      <c r="C46" s="36"/>
      <c r="D46" s="36">
        <f t="shared" si="7"/>
        <v>5500</v>
      </c>
      <c r="E46" s="36">
        <v>1100</v>
      </c>
      <c r="F46" s="36">
        <v>3090</v>
      </c>
      <c r="G46" s="36">
        <v>110</v>
      </c>
      <c r="H46" s="36">
        <v>0</v>
      </c>
      <c r="I46" s="36"/>
      <c r="J46" s="36"/>
      <c r="K46" s="36">
        <v>0</v>
      </c>
      <c r="L46" s="36">
        <v>1200</v>
      </c>
    </row>
    <row r="47" spans="1:12" s="6" customFormat="1" ht="15.75">
      <c r="A47" s="114" t="s">
        <v>31</v>
      </c>
      <c r="B47" s="36">
        <f t="shared" si="6"/>
        <v>6500</v>
      </c>
      <c r="C47" s="36"/>
      <c r="D47" s="36">
        <f t="shared" si="7"/>
        <v>6500</v>
      </c>
      <c r="E47" s="36">
        <v>2500</v>
      </c>
      <c r="F47" s="36">
        <v>520</v>
      </c>
      <c r="G47" s="36">
        <v>1250</v>
      </c>
      <c r="H47" s="36">
        <v>320</v>
      </c>
      <c r="I47" s="36">
        <v>160</v>
      </c>
      <c r="J47" s="36">
        <v>450</v>
      </c>
      <c r="K47" s="36">
        <v>800</v>
      </c>
      <c r="L47" s="36">
        <v>500</v>
      </c>
    </row>
    <row r="48" spans="1:12" s="6" customFormat="1" ht="15.75">
      <c r="A48" s="114" t="s">
        <v>32</v>
      </c>
      <c r="B48" s="36">
        <f t="shared" si="6"/>
        <v>52300</v>
      </c>
      <c r="C48" s="36">
        <v>22500</v>
      </c>
      <c r="D48" s="36">
        <f t="shared" si="7"/>
        <v>29800</v>
      </c>
      <c r="E48" s="36">
        <v>6400</v>
      </c>
      <c r="F48" s="36">
        <v>3700</v>
      </c>
      <c r="G48" s="36">
        <v>2970</v>
      </c>
      <c r="H48" s="36">
        <v>2600</v>
      </c>
      <c r="I48" s="36">
        <v>680</v>
      </c>
      <c r="J48" s="36">
        <v>2450</v>
      </c>
      <c r="K48" s="36">
        <v>6200</v>
      </c>
      <c r="L48" s="36">
        <v>4800</v>
      </c>
    </row>
    <row r="49" spans="1:12" s="6" customFormat="1" ht="15.75">
      <c r="A49" s="114" t="s">
        <v>106</v>
      </c>
      <c r="B49" s="36">
        <f t="shared" si="6"/>
        <v>11000</v>
      </c>
      <c r="C49" s="36">
        <v>11000</v>
      </c>
      <c r="D49" s="36"/>
      <c r="E49" s="36"/>
      <c r="F49" s="36"/>
      <c r="G49" s="36"/>
      <c r="H49" s="36"/>
      <c r="I49" s="36"/>
      <c r="J49" s="36"/>
      <c r="K49" s="36"/>
      <c r="L49" s="36"/>
    </row>
    <row r="50" spans="1:12" s="6" customFormat="1" ht="15.75">
      <c r="A50" s="114" t="s">
        <v>107</v>
      </c>
      <c r="B50" s="36">
        <f>B51+B52</f>
        <v>23000</v>
      </c>
      <c r="C50" s="36">
        <f aca="true" t="shared" si="8" ref="C50:L50">SUM(C51:C52)</f>
        <v>8400</v>
      </c>
      <c r="D50" s="36">
        <f t="shared" si="8"/>
        <v>14600</v>
      </c>
      <c r="E50" s="36">
        <f t="shared" si="8"/>
        <v>2000</v>
      </c>
      <c r="F50" s="36">
        <f t="shared" si="8"/>
        <v>1130</v>
      </c>
      <c r="G50" s="36">
        <f t="shared" si="8"/>
        <v>3220</v>
      </c>
      <c r="H50" s="36">
        <f t="shared" si="8"/>
        <v>2300</v>
      </c>
      <c r="I50" s="36">
        <f t="shared" si="8"/>
        <v>1300</v>
      </c>
      <c r="J50" s="36">
        <f t="shared" si="8"/>
        <v>2000</v>
      </c>
      <c r="K50" s="36">
        <f t="shared" si="8"/>
        <v>1350</v>
      </c>
      <c r="L50" s="36">
        <f t="shared" si="8"/>
        <v>1300</v>
      </c>
    </row>
    <row r="51" spans="1:12" ht="15.75" customHeight="1">
      <c r="A51" s="115" t="s">
        <v>33</v>
      </c>
      <c r="B51" s="36">
        <f>C51+D51</f>
        <v>0</v>
      </c>
      <c r="C51" s="36"/>
      <c r="D51" s="36">
        <f>SUM(E51:L51)</f>
        <v>0</v>
      </c>
      <c r="E51" s="36"/>
      <c r="F51" s="36"/>
      <c r="G51" s="36"/>
      <c r="H51" s="36"/>
      <c r="I51" s="36"/>
      <c r="J51" s="36"/>
      <c r="K51" s="36"/>
      <c r="L51" s="36"/>
    </row>
    <row r="52" spans="1:12" ht="15.75" customHeight="1">
      <c r="A52" s="115" t="s">
        <v>34</v>
      </c>
      <c r="B52" s="36">
        <f>C52+D52</f>
        <v>23000</v>
      </c>
      <c r="C52" s="36">
        <v>8400</v>
      </c>
      <c r="D52" s="36">
        <f>SUM(E52:L52)</f>
        <v>14600</v>
      </c>
      <c r="E52" s="36">
        <v>2000</v>
      </c>
      <c r="F52" s="36">
        <v>1130</v>
      </c>
      <c r="G52" s="36">
        <v>3220</v>
      </c>
      <c r="H52" s="36">
        <v>2300</v>
      </c>
      <c r="I52" s="36">
        <v>1300</v>
      </c>
      <c r="J52" s="36">
        <v>2000</v>
      </c>
      <c r="K52" s="36">
        <v>1350</v>
      </c>
      <c r="L52" s="36">
        <v>1300</v>
      </c>
    </row>
    <row r="53" spans="1:12" s="6" customFormat="1" ht="15.75" customHeight="1">
      <c r="A53" s="114" t="s">
        <v>115</v>
      </c>
      <c r="B53" s="36">
        <f>C53+D53</f>
        <v>0</v>
      </c>
      <c r="C53" s="36"/>
      <c r="D53" s="36">
        <f>SUM(E53:L53)</f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s="6" customFormat="1" ht="15.75">
      <c r="A54" s="114" t="s">
        <v>119</v>
      </c>
      <c r="B54" s="36">
        <f>C54+D54</f>
        <v>160000</v>
      </c>
      <c r="C54" s="36">
        <v>47000</v>
      </c>
      <c r="D54" s="36">
        <f>SUM(E54:L54)</f>
        <v>113000</v>
      </c>
      <c r="E54" s="36">
        <v>19000</v>
      </c>
      <c r="F54" s="36">
        <v>9000</v>
      </c>
      <c r="G54" s="36">
        <v>22000</v>
      </c>
      <c r="H54" s="36">
        <v>8000</v>
      </c>
      <c r="I54" s="36">
        <v>4000</v>
      </c>
      <c r="J54" s="36">
        <v>7000</v>
      </c>
      <c r="K54" s="36">
        <v>17000</v>
      </c>
      <c r="L54" s="36">
        <v>27000</v>
      </c>
    </row>
    <row r="55" spans="1:12" s="6" customFormat="1" ht="15" customHeight="1">
      <c r="A55" s="114" t="s">
        <v>120</v>
      </c>
      <c r="B55" s="36">
        <f>C55+D55</f>
        <v>22000</v>
      </c>
      <c r="C55" s="36">
        <v>4000</v>
      </c>
      <c r="D55" s="36">
        <f>SUM(E55:L55)</f>
        <v>18000</v>
      </c>
      <c r="E55" s="36">
        <v>1250</v>
      </c>
      <c r="F55" s="36">
        <v>550</v>
      </c>
      <c r="G55" s="36">
        <v>4250</v>
      </c>
      <c r="H55" s="36">
        <v>2700</v>
      </c>
      <c r="I55" s="36">
        <v>350</v>
      </c>
      <c r="J55" s="36">
        <v>1150</v>
      </c>
      <c r="K55" s="36">
        <v>6100</v>
      </c>
      <c r="L55" s="36">
        <v>1650</v>
      </c>
    </row>
    <row r="56" spans="1:12" ht="0.75" customHeight="1" hidden="1">
      <c r="A56" s="114" t="s">
        <v>108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5.75" customHeight="1" hidden="1">
      <c r="A57" s="116" t="s">
        <v>109</v>
      </c>
      <c r="B57" s="36"/>
      <c r="C57" s="36"/>
      <c r="D57" s="36">
        <f>SUM(E57:L57)</f>
        <v>0</v>
      </c>
      <c r="E57" s="36"/>
      <c r="F57" s="36"/>
      <c r="G57" s="36"/>
      <c r="H57" s="36"/>
      <c r="I57" s="36"/>
      <c r="J57" s="36"/>
      <c r="K57" s="36"/>
      <c r="L57" s="36"/>
    </row>
    <row r="58" spans="1:12" s="6" customFormat="1" ht="15.75" customHeight="1">
      <c r="A58" s="114" t="s">
        <v>121</v>
      </c>
      <c r="B58" s="36">
        <f>C58+D58</f>
        <v>34400</v>
      </c>
      <c r="C58" s="36">
        <v>19700</v>
      </c>
      <c r="D58" s="36">
        <f>SUM(E58:L58)</f>
        <v>14700</v>
      </c>
      <c r="E58" s="36">
        <v>2850</v>
      </c>
      <c r="F58" s="36">
        <v>3260</v>
      </c>
      <c r="G58" s="36">
        <v>2750</v>
      </c>
      <c r="H58" s="36">
        <v>980</v>
      </c>
      <c r="I58" s="36">
        <v>360</v>
      </c>
      <c r="J58" s="36">
        <v>2450</v>
      </c>
      <c r="K58" s="36">
        <v>500</v>
      </c>
      <c r="L58" s="36">
        <v>1550</v>
      </c>
    </row>
    <row r="59" spans="1:12" s="3" customFormat="1" ht="40.5" customHeight="1">
      <c r="A59" s="27" t="s">
        <v>35</v>
      </c>
      <c r="B59" s="35">
        <f>SUM(B60:B61)</f>
        <v>14000</v>
      </c>
      <c r="C59" s="35">
        <f>SUM(C60:C61)</f>
        <v>14000</v>
      </c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3.5" customHeight="1">
      <c r="A60" s="29" t="s">
        <v>36</v>
      </c>
      <c r="B60" s="36">
        <f>C60+D60</f>
        <v>5000</v>
      </c>
      <c r="C60" s="36">
        <f>8000-3000</f>
        <v>5000</v>
      </c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5" customHeight="1">
      <c r="A61" s="29" t="s">
        <v>150</v>
      </c>
      <c r="B61" s="36">
        <f>C61+D61</f>
        <v>9000</v>
      </c>
      <c r="C61" s="36">
        <f>12000-3000</f>
        <v>9000</v>
      </c>
      <c r="D61" s="36"/>
      <c r="E61" s="36"/>
      <c r="F61" s="36"/>
      <c r="G61" s="36"/>
      <c r="H61" s="36"/>
      <c r="I61" s="36"/>
      <c r="J61" s="36"/>
      <c r="K61" s="36"/>
      <c r="L61" s="36"/>
    </row>
    <row r="62" spans="1:12" s="3" customFormat="1" ht="18" customHeight="1">
      <c r="A62" s="27" t="s">
        <v>37</v>
      </c>
      <c r="B62" s="35"/>
      <c r="C62" s="36"/>
      <c r="D62" s="36"/>
      <c r="E62" s="35"/>
      <c r="F62" s="35"/>
      <c r="G62" s="35"/>
      <c r="H62" s="35"/>
      <c r="I62" s="35"/>
      <c r="J62" s="35"/>
      <c r="K62" s="35"/>
      <c r="L62" s="35"/>
    </row>
    <row r="63" spans="1:12" s="3" customFormat="1" ht="1.5" customHeight="1">
      <c r="A63" s="27" t="s">
        <v>38</v>
      </c>
      <c r="B63" s="35"/>
      <c r="C63" s="36"/>
      <c r="D63" s="36"/>
      <c r="E63" s="35"/>
      <c r="F63" s="35"/>
      <c r="G63" s="35"/>
      <c r="H63" s="35"/>
      <c r="I63" s="35"/>
      <c r="J63" s="35"/>
      <c r="K63" s="35"/>
      <c r="L63" s="35"/>
    </row>
    <row r="64" spans="1:12" s="3" customFormat="1" ht="31.5">
      <c r="A64" s="27" t="s">
        <v>39</v>
      </c>
      <c r="B64" s="35">
        <f>SUM(B65:B70)</f>
        <v>190000</v>
      </c>
      <c r="C64" s="35">
        <f>SUM(C65:C70)</f>
        <v>119800</v>
      </c>
      <c r="D64" s="35">
        <f>SUM(D65:D70)</f>
        <v>70200</v>
      </c>
      <c r="E64" s="35">
        <f>SUM(E65:E70)</f>
        <v>5200</v>
      </c>
      <c r="F64" s="35">
        <f aca="true" t="shared" si="9" ref="F64:L64">SUM(F65:F70)</f>
        <v>5200</v>
      </c>
      <c r="G64" s="35">
        <f t="shared" si="9"/>
        <v>11800</v>
      </c>
      <c r="H64" s="35">
        <f t="shared" si="9"/>
        <v>7800</v>
      </c>
      <c r="I64" s="35">
        <f t="shared" si="9"/>
        <v>3200</v>
      </c>
      <c r="J64" s="35">
        <f t="shared" si="9"/>
        <v>9600</v>
      </c>
      <c r="K64" s="35">
        <f t="shared" si="9"/>
        <v>19800</v>
      </c>
      <c r="L64" s="35">
        <f t="shared" si="9"/>
        <v>7600</v>
      </c>
    </row>
    <row r="65" spans="1:12" ht="15.75">
      <c r="A65" s="115" t="s">
        <v>110</v>
      </c>
      <c r="B65" s="65">
        <f aca="true" t="shared" si="10" ref="B65:B70">C65+D65</f>
        <v>52000</v>
      </c>
      <c r="C65" s="65">
        <v>52000</v>
      </c>
      <c r="D65" s="65">
        <f aca="true" t="shared" si="11" ref="D65:D70">SUM(E65:L65)</f>
        <v>0</v>
      </c>
      <c r="E65" s="65"/>
      <c r="F65" s="65"/>
      <c r="G65" s="65"/>
      <c r="H65" s="65"/>
      <c r="I65" s="65"/>
      <c r="J65" s="65"/>
      <c r="K65" s="65"/>
      <c r="L65" s="65"/>
    </row>
    <row r="66" spans="1:12" ht="15.75">
      <c r="A66" s="115" t="s">
        <v>111</v>
      </c>
      <c r="B66" s="36">
        <f t="shared" si="10"/>
        <v>12300</v>
      </c>
      <c r="C66" s="36">
        <v>5200</v>
      </c>
      <c r="D66" s="36">
        <f t="shared" si="11"/>
        <v>7100</v>
      </c>
      <c r="E66" s="36">
        <v>1050</v>
      </c>
      <c r="F66" s="36">
        <v>1050</v>
      </c>
      <c r="G66" s="36">
        <v>1150</v>
      </c>
      <c r="H66" s="36">
        <v>750</v>
      </c>
      <c r="I66" s="36">
        <v>400</v>
      </c>
      <c r="J66" s="36">
        <v>850</v>
      </c>
      <c r="K66" s="36">
        <v>1250</v>
      </c>
      <c r="L66" s="36">
        <v>600</v>
      </c>
    </row>
    <row r="67" spans="1:12" ht="15.75">
      <c r="A67" s="115" t="s">
        <v>112</v>
      </c>
      <c r="B67" s="36">
        <f t="shared" si="10"/>
        <v>48600</v>
      </c>
      <c r="C67" s="36">
        <v>29500</v>
      </c>
      <c r="D67" s="36">
        <f t="shared" si="11"/>
        <v>19100</v>
      </c>
      <c r="E67" s="36">
        <v>900</v>
      </c>
      <c r="F67" s="36">
        <v>300</v>
      </c>
      <c r="G67" s="36">
        <v>2600</v>
      </c>
      <c r="H67" s="36">
        <v>2550</v>
      </c>
      <c r="I67" s="36">
        <v>950</v>
      </c>
      <c r="J67" s="36">
        <v>3900</v>
      </c>
      <c r="K67" s="36">
        <v>5600</v>
      </c>
      <c r="L67" s="36">
        <v>2300</v>
      </c>
    </row>
    <row r="68" spans="1:12" ht="15.75">
      <c r="A68" s="115" t="s">
        <v>51</v>
      </c>
      <c r="B68" s="36">
        <f t="shared" si="10"/>
        <v>18200</v>
      </c>
      <c r="C68" s="36">
        <v>0</v>
      </c>
      <c r="D68" s="36">
        <f t="shared" si="11"/>
        <v>18200</v>
      </c>
      <c r="E68" s="36">
        <v>1100</v>
      </c>
      <c r="F68" s="36">
        <v>750</v>
      </c>
      <c r="G68" s="36">
        <v>4400</v>
      </c>
      <c r="H68" s="36">
        <v>1800</v>
      </c>
      <c r="I68" s="36">
        <v>350</v>
      </c>
      <c r="J68" s="36">
        <v>1150</v>
      </c>
      <c r="K68" s="36">
        <v>6750</v>
      </c>
      <c r="L68" s="36">
        <v>1900</v>
      </c>
    </row>
    <row r="69" spans="1:12" ht="15.75">
      <c r="A69" s="115" t="s">
        <v>113</v>
      </c>
      <c r="B69" s="36">
        <f t="shared" si="10"/>
        <v>5700</v>
      </c>
      <c r="C69" s="36">
        <v>2000</v>
      </c>
      <c r="D69" s="36">
        <f t="shared" si="11"/>
        <v>3700</v>
      </c>
      <c r="E69" s="36">
        <v>950</v>
      </c>
      <c r="F69" s="36">
        <v>130</v>
      </c>
      <c r="G69" s="36">
        <v>900</v>
      </c>
      <c r="H69" s="36">
        <v>160</v>
      </c>
      <c r="I69" s="36">
        <v>200</v>
      </c>
      <c r="J69" s="36">
        <v>500</v>
      </c>
      <c r="K69" s="36">
        <v>700</v>
      </c>
      <c r="L69" s="36">
        <v>160</v>
      </c>
    </row>
    <row r="70" spans="1:12" ht="15.75">
      <c r="A70" s="115" t="s">
        <v>114</v>
      </c>
      <c r="B70" s="37">
        <f t="shared" si="10"/>
        <v>53200</v>
      </c>
      <c r="C70" s="37">
        <v>31100</v>
      </c>
      <c r="D70" s="37">
        <f t="shared" si="11"/>
        <v>22100</v>
      </c>
      <c r="E70" s="37">
        <v>1200</v>
      </c>
      <c r="F70" s="37">
        <v>2970</v>
      </c>
      <c r="G70" s="37">
        <v>2750</v>
      </c>
      <c r="H70" s="37">
        <v>2540</v>
      </c>
      <c r="I70" s="37">
        <v>1300</v>
      </c>
      <c r="J70" s="37">
        <v>3200</v>
      </c>
      <c r="K70" s="37">
        <v>5500</v>
      </c>
      <c r="L70" s="37">
        <v>2640</v>
      </c>
    </row>
    <row r="71" spans="1:12" ht="15.75">
      <c r="A71" s="30" t="s">
        <v>40</v>
      </c>
      <c r="B71" s="35">
        <f aca="true" t="shared" si="12" ref="B71:L71">B72+B87</f>
        <v>2261104</v>
      </c>
      <c r="C71" s="35">
        <f t="shared" si="12"/>
        <v>1055524</v>
      </c>
      <c r="D71" s="35">
        <f t="shared" si="12"/>
        <v>1205580</v>
      </c>
      <c r="E71" s="35">
        <f t="shared" si="12"/>
        <v>120193</v>
      </c>
      <c r="F71" s="35">
        <f t="shared" si="12"/>
        <v>128524</v>
      </c>
      <c r="G71" s="35">
        <f t="shared" si="12"/>
        <v>255821</v>
      </c>
      <c r="H71" s="35">
        <f t="shared" si="12"/>
        <v>153474</v>
      </c>
      <c r="I71" s="35">
        <f t="shared" si="12"/>
        <v>93618</v>
      </c>
      <c r="J71" s="35">
        <f t="shared" si="12"/>
        <v>164721</v>
      </c>
      <c r="K71" s="35">
        <f t="shared" si="12"/>
        <v>171669</v>
      </c>
      <c r="L71" s="35">
        <f t="shared" si="12"/>
        <v>117560</v>
      </c>
    </row>
    <row r="72" spans="1:12" ht="15.75">
      <c r="A72" s="126" t="s">
        <v>14</v>
      </c>
      <c r="B72" s="35">
        <f>B73+B76+B82+B83+B84+B85+B86</f>
        <v>2071104</v>
      </c>
      <c r="C72" s="35">
        <f>C73+C76+C82+C83+C84+C85+C86</f>
        <v>935724</v>
      </c>
      <c r="D72" s="35">
        <f>D73+D76+D82+D83+D84+D85+D86</f>
        <v>1135380</v>
      </c>
      <c r="E72" s="35">
        <f>E73+E76+E82+E83+E84+E85+E86</f>
        <v>114993</v>
      </c>
      <c r="F72" s="35">
        <f aca="true" t="shared" si="13" ref="F72:L72">F73+F76+F82+F83+F84+F85+F86</f>
        <v>123324</v>
      </c>
      <c r="G72" s="35">
        <f t="shared" si="13"/>
        <v>244021</v>
      </c>
      <c r="H72" s="35">
        <f t="shared" si="13"/>
        <v>145674</v>
      </c>
      <c r="I72" s="35">
        <f t="shared" si="13"/>
        <v>90418</v>
      </c>
      <c r="J72" s="35">
        <f t="shared" si="13"/>
        <v>155121</v>
      </c>
      <c r="K72" s="35">
        <f t="shared" si="13"/>
        <v>151869</v>
      </c>
      <c r="L72" s="35">
        <f t="shared" si="13"/>
        <v>109960</v>
      </c>
    </row>
    <row r="73" spans="1:12" ht="15.75">
      <c r="A73" s="117" t="s">
        <v>156</v>
      </c>
      <c r="B73" s="35">
        <f>B74+B75</f>
        <v>1445790</v>
      </c>
      <c r="C73" s="35">
        <f>C74+C75</f>
        <v>924810</v>
      </c>
      <c r="D73" s="35">
        <f>SUM(E73:L73)</f>
        <v>520980</v>
      </c>
      <c r="E73" s="35">
        <f>E74+E75</f>
        <v>71750</v>
      </c>
      <c r="F73" s="35">
        <f aca="true" t="shared" si="14" ref="F73:L73">F74+F75</f>
        <v>53670</v>
      </c>
      <c r="G73" s="35">
        <f t="shared" si="14"/>
        <v>129720</v>
      </c>
      <c r="H73" s="35">
        <f t="shared" si="14"/>
        <v>53050</v>
      </c>
      <c r="I73" s="35">
        <f t="shared" si="14"/>
        <v>12340</v>
      </c>
      <c r="J73" s="35">
        <f t="shared" si="14"/>
        <v>66620</v>
      </c>
      <c r="K73" s="35">
        <f t="shared" si="14"/>
        <v>72670</v>
      </c>
      <c r="L73" s="35">
        <f t="shared" si="14"/>
        <v>61160</v>
      </c>
    </row>
    <row r="74" spans="1:12" ht="15.75">
      <c r="A74" s="29" t="s">
        <v>41</v>
      </c>
      <c r="B74" s="36">
        <f>B13-B20-B51-B75</f>
        <v>353930</v>
      </c>
      <c r="C74" s="36">
        <f>B74-D74</f>
        <v>198450</v>
      </c>
      <c r="D74" s="36">
        <f>SUM(E74:L74)</f>
        <v>155480</v>
      </c>
      <c r="E74" s="36">
        <f>E13-E41-E42-E44-E55-E75-E48</f>
        <v>27430</v>
      </c>
      <c r="F74" s="36">
        <f aca="true" t="shared" si="15" ref="F74:L74">F13-F41-F42-F44-F55-F75-F48</f>
        <v>14430</v>
      </c>
      <c r="G74" s="36">
        <f t="shared" si="15"/>
        <v>31020</v>
      </c>
      <c r="H74" s="36">
        <f t="shared" si="15"/>
        <v>12230</v>
      </c>
      <c r="I74" s="36">
        <f t="shared" si="15"/>
        <v>6190</v>
      </c>
      <c r="J74" s="36">
        <f t="shared" si="15"/>
        <v>12780</v>
      </c>
      <c r="K74" s="36">
        <f t="shared" si="15"/>
        <v>20520</v>
      </c>
      <c r="L74" s="36">
        <f t="shared" si="15"/>
        <v>30880</v>
      </c>
    </row>
    <row r="75" spans="1:12" ht="15" customHeight="1">
      <c r="A75" s="117" t="s">
        <v>151</v>
      </c>
      <c r="B75" s="36">
        <f>B15+B16+B17+B22+B23+B24+B29+B30+B39+B40+B41+B48+B49</f>
        <v>1091860</v>
      </c>
      <c r="C75" s="36">
        <f>B75-D75</f>
        <v>726360</v>
      </c>
      <c r="D75" s="36">
        <f>SUM(E75:L75)</f>
        <v>365500</v>
      </c>
      <c r="E75" s="36">
        <f>E39+E40+E45+E46</f>
        <v>44320</v>
      </c>
      <c r="F75" s="36">
        <f aca="true" t="shared" si="16" ref="F75:L75">F39+F40+F45+F46</f>
        <v>39240</v>
      </c>
      <c r="G75" s="36">
        <f t="shared" si="16"/>
        <v>98700</v>
      </c>
      <c r="H75" s="36">
        <f t="shared" si="16"/>
        <v>40820</v>
      </c>
      <c r="I75" s="36">
        <f t="shared" si="16"/>
        <v>6150</v>
      </c>
      <c r="J75" s="36">
        <f t="shared" si="16"/>
        <v>53840</v>
      </c>
      <c r="K75" s="36">
        <f t="shared" si="16"/>
        <v>52150</v>
      </c>
      <c r="L75" s="36">
        <f t="shared" si="16"/>
        <v>30280</v>
      </c>
    </row>
    <row r="76" spans="1:12" s="31" customFormat="1" ht="14.25" customHeight="1">
      <c r="A76" s="118" t="s">
        <v>42</v>
      </c>
      <c r="B76" s="35">
        <f>SUM(B77:B81)</f>
        <v>542384</v>
      </c>
      <c r="C76" s="35">
        <v>10914</v>
      </c>
      <c r="D76" s="35">
        <f>SUM(D77:D81)</f>
        <v>531470</v>
      </c>
      <c r="E76" s="35">
        <f>SUM(E77:E81)</f>
        <v>35338</v>
      </c>
      <c r="F76" s="35">
        <f aca="true" t="shared" si="17" ref="F76:L76">SUM(F77:F81)</f>
        <v>62686</v>
      </c>
      <c r="G76" s="35">
        <f t="shared" si="17"/>
        <v>97248</v>
      </c>
      <c r="H76" s="35">
        <f t="shared" si="17"/>
        <v>81359</v>
      </c>
      <c r="I76" s="35">
        <f t="shared" si="17"/>
        <v>65566</v>
      </c>
      <c r="J76" s="35">
        <f t="shared" si="17"/>
        <v>81529</v>
      </c>
      <c r="K76" s="35">
        <f t="shared" si="17"/>
        <v>67337</v>
      </c>
      <c r="L76" s="35">
        <f t="shared" si="17"/>
        <v>40407</v>
      </c>
    </row>
    <row r="77" spans="1:12" ht="15.75" customHeight="1">
      <c r="A77" s="29" t="s">
        <v>43</v>
      </c>
      <c r="B77" s="36">
        <v>178994</v>
      </c>
      <c r="C77" s="36"/>
      <c r="D77" s="36">
        <f aca="true" t="shared" si="18" ref="D77:D82">SUM(E77:L77)</f>
        <v>356945</v>
      </c>
      <c r="E77" s="123">
        <f>14512+1900</f>
        <v>16412</v>
      </c>
      <c r="F77" s="36">
        <v>47139</v>
      </c>
      <c r="G77" s="36">
        <v>63898</v>
      </c>
      <c r="H77" s="36">
        <v>55739</v>
      </c>
      <c r="I77" s="36">
        <v>39816</v>
      </c>
      <c r="J77" s="36">
        <v>59279</v>
      </c>
      <c r="K77" s="36">
        <v>47987</v>
      </c>
      <c r="L77" s="36">
        <v>26675</v>
      </c>
    </row>
    <row r="78" spans="1:12" ht="15.75" customHeight="1">
      <c r="A78" s="29" t="s">
        <v>152</v>
      </c>
      <c r="B78" s="29">
        <v>0</v>
      </c>
      <c r="C78" s="29"/>
      <c r="D78" s="29">
        <f t="shared" si="18"/>
        <v>110300</v>
      </c>
      <c r="E78" s="29">
        <v>14000</v>
      </c>
      <c r="F78" s="29">
        <v>14000</v>
      </c>
      <c r="G78" s="29">
        <v>21500</v>
      </c>
      <c r="H78" s="29">
        <v>11400</v>
      </c>
      <c r="I78" s="29">
        <v>9600</v>
      </c>
      <c r="J78" s="29">
        <v>12400</v>
      </c>
      <c r="K78" s="29">
        <v>18200</v>
      </c>
      <c r="L78" s="29">
        <v>9200</v>
      </c>
    </row>
    <row r="79" spans="1:12" ht="15.75" customHeight="1">
      <c r="A79" s="29" t="s">
        <v>153</v>
      </c>
      <c r="B79" s="29">
        <v>176500</v>
      </c>
      <c r="C79" s="29"/>
      <c r="D79" s="29">
        <f>SUM(E79:L79)</f>
        <v>51900</v>
      </c>
      <c r="E79" s="29">
        <v>0</v>
      </c>
      <c r="F79" s="29">
        <v>0</v>
      </c>
      <c r="G79" s="29">
        <v>10850</v>
      </c>
      <c r="H79" s="29">
        <v>13350</v>
      </c>
      <c r="I79" s="29">
        <v>15350</v>
      </c>
      <c r="J79" s="29">
        <v>9850</v>
      </c>
      <c r="K79" s="29">
        <v>0</v>
      </c>
      <c r="L79" s="29">
        <v>2500</v>
      </c>
    </row>
    <row r="80" spans="1:12" s="6" customFormat="1" ht="15.75">
      <c r="A80" s="29" t="s">
        <v>154</v>
      </c>
      <c r="B80" s="29">
        <v>101804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s="6" customFormat="1" ht="20.25" customHeight="1">
      <c r="A81" s="29" t="s">
        <v>155</v>
      </c>
      <c r="B81" s="29">
        <v>85086</v>
      </c>
      <c r="C81" s="29"/>
      <c r="D81" s="29">
        <f>SUM(E81:L81)</f>
        <v>12325</v>
      </c>
      <c r="E81" s="29">
        <v>4926</v>
      </c>
      <c r="F81" s="29">
        <v>1547</v>
      </c>
      <c r="G81" s="29">
        <v>1000</v>
      </c>
      <c r="H81" s="29">
        <v>870</v>
      </c>
      <c r="I81" s="29">
        <v>800</v>
      </c>
      <c r="J81" s="29"/>
      <c r="K81" s="29">
        <v>1150</v>
      </c>
      <c r="L81" s="29">
        <v>2032</v>
      </c>
    </row>
    <row r="82" spans="1:12" s="32" customFormat="1" ht="16.5" customHeight="1">
      <c r="A82" s="119" t="s">
        <v>124</v>
      </c>
      <c r="B82" s="35">
        <f>C82+D82</f>
        <v>82930</v>
      </c>
      <c r="C82" s="35"/>
      <c r="D82" s="35">
        <f t="shared" si="18"/>
        <v>82930</v>
      </c>
      <c r="E82" s="35">
        <v>7905</v>
      </c>
      <c r="F82" s="35">
        <v>6968</v>
      </c>
      <c r="G82" s="35">
        <f>13053+4000</f>
        <v>17053</v>
      </c>
      <c r="H82" s="35">
        <f>7265+4000</f>
        <v>11265</v>
      </c>
      <c r="I82" s="35">
        <f>8512+4000</f>
        <v>12512</v>
      </c>
      <c r="J82" s="35">
        <f>2972+4000</f>
        <v>6972</v>
      </c>
      <c r="K82" s="35">
        <f>7862+4000</f>
        <v>11862</v>
      </c>
      <c r="L82" s="35">
        <f>4393+4000</f>
        <v>8393</v>
      </c>
    </row>
    <row r="83" spans="1:12" s="5" customFormat="1" ht="1.5" customHeight="1" hidden="1">
      <c r="A83" s="117" t="s">
        <v>47</v>
      </c>
      <c r="B83" s="35">
        <f>C83+D83</f>
        <v>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s="5" customFormat="1" ht="15.75" customHeight="1" hidden="1">
      <c r="A84" s="117" t="s">
        <v>48</v>
      </c>
      <c r="B84" s="35">
        <f>C84+D84</f>
        <v>0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s="6" customFormat="1" ht="31.5" hidden="1">
      <c r="A85" s="117" t="s">
        <v>122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s="33" customFormat="1" ht="18.75" customHeight="1" hidden="1">
      <c r="A86" s="119" t="s">
        <v>49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s="3" customFormat="1" ht="15.75">
      <c r="A87" s="63" t="s">
        <v>103</v>
      </c>
      <c r="B87" s="64">
        <f>SUM(B88:B93)</f>
        <v>190000</v>
      </c>
      <c r="C87" s="64">
        <f>SUM(C88:C93)</f>
        <v>119800</v>
      </c>
      <c r="D87" s="64">
        <f>SUM(D88:D93)</f>
        <v>70200</v>
      </c>
      <c r="E87" s="64">
        <f aca="true" t="shared" si="19" ref="E87:L87">SUM(E88:E93)</f>
        <v>5200</v>
      </c>
      <c r="F87" s="64">
        <f t="shared" si="19"/>
        <v>5200</v>
      </c>
      <c r="G87" s="64">
        <f t="shared" si="19"/>
        <v>11800</v>
      </c>
      <c r="H87" s="64">
        <f t="shared" si="19"/>
        <v>7800</v>
      </c>
      <c r="I87" s="64">
        <f t="shared" si="19"/>
        <v>3200</v>
      </c>
      <c r="J87" s="64">
        <f t="shared" si="19"/>
        <v>9600</v>
      </c>
      <c r="K87" s="64">
        <f t="shared" si="19"/>
        <v>19800</v>
      </c>
      <c r="L87" s="64">
        <f t="shared" si="19"/>
        <v>7600</v>
      </c>
    </row>
    <row r="88" spans="1:12" ht="15.75">
      <c r="A88" s="120" t="s">
        <v>110</v>
      </c>
      <c r="B88" s="65">
        <f aca="true" t="shared" si="20" ref="B88:B93">C88+D88</f>
        <v>52000</v>
      </c>
      <c r="C88" s="65">
        <v>52000</v>
      </c>
      <c r="D88" s="65">
        <f aca="true" t="shared" si="21" ref="D88:D93">SUM(E88:L88)</f>
        <v>0</v>
      </c>
      <c r="E88" s="65"/>
      <c r="F88" s="65"/>
      <c r="G88" s="65"/>
      <c r="H88" s="65"/>
      <c r="I88" s="65"/>
      <c r="J88" s="65"/>
      <c r="K88" s="65"/>
      <c r="L88" s="65"/>
    </row>
    <row r="89" spans="1:12" ht="15.75">
      <c r="A89" s="115" t="s">
        <v>111</v>
      </c>
      <c r="B89" s="36">
        <f t="shared" si="20"/>
        <v>12300</v>
      </c>
      <c r="C89" s="36">
        <v>5200</v>
      </c>
      <c r="D89" s="36">
        <f t="shared" si="21"/>
        <v>7100</v>
      </c>
      <c r="E89" s="36">
        <v>1050</v>
      </c>
      <c r="F89" s="36">
        <v>1050</v>
      </c>
      <c r="G89" s="36">
        <v>1150</v>
      </c>
      <c r="H89" s="36">
        <v>750</v>
      </c>
      <c r="I89" s="36">
        <v>400</v>
      </c>
      <c r="J89" s="36">
        <v>850</v>
      </c>
      <c r="K89" s="36">
        <v>1250</v>
      </c>
      <c r="L89" s="36">
        <v>600</v>
      </c>
    </row>
    <row r="90" spans="1:12" ht="15.75">
      <c r="A90" s="115" t="s">
        <v>112</v>
      </c>
      <c r="B90" s="36">
        <f t="shared" si="20"/>
        <v>48600</v>
      </c>
      <c r="C90" s="36">
        <v>29500</v>
      </c>
      <c r="D90" s="36">
        <f t="shared" si="21"/>
        <v>19100</v>
      </c>
      <c r="E90" s="36">
        <v>900</v>
      </c>
      <c r="F90" s="36">
        <v>300</v>
      </c>
      <c r="G90" s="36">
        <v>2600</v>
      </c>
      <c r="H90" s="36">
        <v>2550</v>
      </c>
      <c r="I90" s="36">
        <v>950</v>
      </c>
      <c r="J90" s="36">
        <v>3900</v>
      </c>
      <c r="K90" s="36">
        <v>5600</v>
      </c>
      <c r="L90" s="36">
        <v>2300</v>
      </c>
    </row>
    <row r="91" spans="1:12" ht="15.75">
      <c r="A91" s="115" t="s">
        <v>51</v>
      </c>
      <c r="B91" s="36">
        <f t="shared" si="20"/>
        <v>18200</v>
      </c>
      <c r="C91" s="36">
        <v>0</v>
      </c>
      <c r="D91" s="36">
        <f t="shared" si="21"/>
        <v>18200</v>
      </c>
      <c r="E91" s="36">
        <v>1100</v>
      </c>
      <c r="F91" s="36">
        <v>750</v>
      </c>
      <c r="G91" s="36">
        <v>4400</v>
      </c>
      <c r="H91" s="36">
        <v>1800</v>
      </c>
      <c r="I91" s="36">
        <v>350</v>
      </c>
      <c r="J91" s="36">
        <v>1150</v>
      </c>
      <c r="K91" s="36">
        <v>6750</v>
      </c>
      <c r="L91" s="36">
        <v>1900</v>
      </c>
    </row>
    <row r="92" spans="1:12" ht="15.75">
      <c r="A92" s="115" t="s">
        <v>113</v>
      </c>
      <c r="B92" s="36">
        <f t="shared" si="20"/>
        <v>5700</v>
      </c>
      <c r="C92" s="36">
        <v>2000</v>
      </c>
      <c r="D92" s="36">
        <f t="shared" si="21"/>
        <v>3700</v>
      </c>
      <c r="E92" s="36">
        <v>950</v>
      </c>
      <c r="F92" s="36">
        <v>130</v>
      </c>
      <c r="G92" s="36">
        <v>900</v>
      </c>
      <c r="H92" s="36">
        <v>160</v>
      </c>
      <c r="I92" s="36">
        <v>200</v>
      </c>
      <c r="J92" s="36">
        <v>500</v>
      </c>
      <c r="K92" s="36">
        <v>700</v>
      </c>
      <c r="L92" s="36">
        <v>160</v>
      </c>
    </row>
    <row r="93" spans="1:12" ht="15.75">
      <c r="A93" s="122" t="s">
        <v>114</v>
      </c>
      <c r="B93" s="37">
        <f t="shared" si="20"/>
        <v>53200</v>
      </c>
      <c r="C93" s="37">
        <v>31100</v>
      </c>
      <c r="D93" s="37">
        <f t="shared" si="21"/>
        <v>22100</v>
      </c>
      <c r="E93" s="37">
        <v>1200</v>
      </c>
      <c r="F93" s="37">
        <v>2970</v>
      </c>
      <c r="G93" s="37">
        <v>2750</v>
      </c>
      <c r="H93" s="37">
        <v>2540</v>
      </c>
      <c r="I93" s="37">
        <v>1300</v>
      </c>
      <c r="J93" s="37">
        <v>3200</v>
      </c>
      <c r="K93" s="37">
        <v>5500</v>
      </c>
      <c r="L93" s="37">
        <v>2640</v>
      </c>
    </row>
    <row r="94" ht="15.75" hidden="1"/>
    <row r="95" spans="1:12" ht="15.75" hidden="1">
      <c r="A95" s="9" t="s">
        <v>42</v>
      </c>
      <c r="D95" s="1" t="e">
        <f>SUM(E95:L95)</f>
        <v>#REF!</v>
      </c>
      <c r="E95" s="1" t="e">
        <f aca="true" t="shared" si="22" ref="E95:L95">SUM(E96:E99)</f>
        <v>#REF!</v>
      </c>
      <c r="F95" s="1" t="e">
        <f t="shared" si="22"/>
        <v>#REF!</v>
      </c>
      <c r="G95" s="1" t="e">
        <f t="shared" si="22"/>
        <v>#REF!</v>
      </c>
      <c r="H95" s="1" t="e">
        <f t="shared" si="22"/>
        <v>#REF!</v>
      </c>
      <c r="I95" s="1" t="e">
        <f t="shared" si="22"/>
        <v>#REF!</v>
      </c>
      <c r="J95" s="1" t="e">
        <f t="shared" si="22"/>
        <v>#REF!</v>
      </c>
      <c r="K95" s="1" t="e">
        <f t="shared" si="22"/>
        <v>#REF!</v>
      </c>
      <c r="L95" s="1" t="e">
        <f t="shared" si="22"/>
        <v>#REF!</v>
      </c>
    </row>
    <row r="96" spans="1:12" ht="15.75" hidden="1">
      <c r="A96" s="4" t="s">
        <v>43</v>
      </c>
      <c r="D96" s="1">
        <f>SUM(E96:L96)</f>
        <v>0</v>
      </c>
      <c r="E96" s="1">
        <f aca="true" t="shared" si="23" ref="E96:L96">E86*25/100</f>
        <v>0</v>
      </c>
      <c r="F96" s="1">
        <f t="shared" si="23"/>
        <v>0</v>
      </c>
      <c r="G96" s="1">
        <f t="shared" si="23"/>
        <v>0</v>
      </c>
      <c r="H96" s="1">
        <f t="shared" si="23"/>
        <v>0</v>
      </c>
      <c r="I96" s="1">
        <f t="shared" si="23"/>
        <v>0</v>
      </c>
      <c r="J96" s="1">
        <f t="shared" si="23"/>
        <v>0</v>
      </c>
      <c r="K96" s="1">
        <f t="shared" si="23"/>
        <v>0</v>
      </c>
      <c r="L96" s="1">
        <f t="shared" si="23"/>
        <v>0</v>
      </c>
    </row>
    <row r="97" spans="1:12" ht="15.75" hidden="1">
      <c r="A97" s="4" t="s">
        <v>44</v>
      </c>
      <c r="D97" s="1" t="e">
        <f>SUM(E97:L97)</f>
        <v>#REF!</v>
      </c>
      <c r="E97" s="1" t="e">
        <f>#REF!*15/100</f>
        <v>#REF!</v>
      </c>
      <c r="F97" s="1" t="e">
        <f>#REF!*15/100</f>
        <v>#REF!</v>
      </c>
      <c r="G97" s="1" t="e">
        <f>#REF!*15/100</f>
        <v>#REF!</v>
      </c>
      <c r="H97" s="1" t="e">
        <f>#REF!*15/100</f>
        <v>#REF!</v>
      </c>
      <c r="I97" s="1" t="e">
        <f>#REF!*25/100</f>
        <v>#REF!</v>
      </c>
      <c r="J97" s="1" t="e">
        <f>#REF!*15/100</f>
        <v>#REF!</v>
      </c>
      <c r="K97" s="1" t="e">
        <f>#REF!*15/100</f>
        <v>#REF!</v>
      </c>
      <c r="L97" s="1" t="e">
        <f>#REF!*25/100</f>
        <v>#REF!</v>
      </c>
    </row>
    <row r="98" spans="1:12" ht="15.75" hidden="1">
      <c r="A98" s="4" t="s">
        <v>45</v>
      </c>
      <c r="D98" s="1" t="e">
        <f>SUM(E98:L98)</f>
        <v>#REF!</v>
      </c>
      <c r="E98" s="1" t="e">
        <f>#REF!*15/100</f>
        <v>#REF!</v>
      </c>
      <c r="F98" s="1" t="e">
        <f>#REF!*15/100</f>
        <v>#REF!</v>
      </c>
      <c r="G98" s="1" t="e">
        <f>#REF!*15/100</f>
        <v>#REF!</v>
      </c>
      <c r="H98" s="1" t="e">
        <f>#REF!*15/100</f>
        <v>#REF!</v>
      </c>
      <c r="I98" s="1" t="e">
        <f>#REF!*15/100</f>
        <v>#REF!</v>
      </c>
      <c r="J98" s="1" t="e">
        <f>#REF!*15/100</f>
        <v>#REF!</v>
      </c>
      <c r="K98" s="1" t="e">
        <f>#REF!*15/100</f>
        <v>#REF!</v>
      </c>
      <c r="L98" s="1" t="e">
        <f>#REF!*15/100</f>
        <v>#REF!</v>
      </c>
    </row>
    <row r="99" spans="1:12" ht="15.75" hidden="1">
      <c r="A99" s="4" t="s">
        <v>46</v>
      </c>
      <c r="D99" s="1" t="e">
        <f>SUM(E99:L99)</f>
        <v>#REF!</v>
      </c>
      <c r="E99" s="1" t="e">
        <f>#REF!*25/100</f>
        <v>#REF!</v>
      </c>
      <c r="F99" s="1" t="e">
        <f>#REF!*25/100</f>
        <v>#REF!</v>
      </c>
      <c r="G99" s="1" t="e">
        <f>#REF!*25/100</f>
        <v>#REF!</v>
      </c>
      <c r="H99" s="1" t="e">
        <f>#REF!*25/100</f>
        <v>#REF!</v>
      </c>
      <c r="I99" s="1" t="e">
        <f>#REF!*25/100</f>
        <v>#REF!</v>
      </c>
      <c r="J99" s="1" t="e">
        <f>#REF!*25/100</f>
        <v>#REF!</v>
      </c>
      <c r="K99" s="1" t="e">
        <f>#REF!*25/100</f>
        <v>#REF!</v>
      </c>
      <c r="L99" s="1" t="e">
        <f>#REF!*25/100</f>
        <v>#REF!</v>
      </c>
    </row>
    <row r="100" spans="5:12" ht="15.75" hidden="1">
      <c r="E100" s="1">
        <v>9614</v>
      </c>
      <c r="F100" s="1">
        <v>3207</v>
      </c>
      <c r="G100" s="1">
        <v>18528</v>
      </c>
      <c r="H100" s="1">
        <v>4841</v>
      </c>
      <c r="I100" s="1">
        <v>2515</v>
      </c>
      <c r="J100" s="1">
        <v>4872</v>
      </c>
      <c r="K100" s="1">
        <v>11749</v>
      </c>
      <c r="L100" s="1">
        <v>5832</v>
      </c>
    </row>
    <row r="101" spans="5:12" ht="15.75" hidden="1">
      <c r="E101" s="1">
        <f aca="true" t="shared" si="24" ref="E101:L101">E80+E87</f>
        <v>5200</v>
      </c>
      <c r="F101" s="1">
        <f t="shared" si="24"/>
        <v>5200</v>
      </c>
      <c r="G101" s="1">
        <f t="shared" si="24"/>
        <v>11800</v>
      </c>
      <c r="H101" s="1">
        <f t="shared" si="24"/>
        <v>7800</v>
      </c>
      <c r="I101" s="1">
        <f t="shared" si="24"/>
        <v>3200</v>
      </c>
      <c r="J101" s="1">
        <f t="shared" si="24"/>
        <v>9600</v>
      </c>
      <c r="K101" s="1">
        <f t="shared" si="24"/>
        <v>19800</v>
      </c>
      <c r="L101" s="1">
        <f t="shared" si="24"/>
        <v>7600</v>
      </c>
    </row>
    <row r="102" spans="5:12" ht="15.75" hidden="1">
      <c r="E102" s="1">
        <f aca="true" t="shared" si="25" ref="E102:L102">E100/E101*100</f>
        <v>184.8846153846154</v>
      </c>
      <c r="F102" s="1">
        <f t="shared" si="25"/>
        <v>61.67307692307692</v>
      </c>
      <c r="G102" s="1">
        <f t="shared" si="25"/>
        <v>157.01694915254237</v>
      </c>
      <c r="H102" s="1">
        <f t="shared" si="25"/>
        <v>62.06410256410256</v>
      </c>
      <c r="I102" s="1">
        <f t="shared" si="25"/>
        <v>78.59375</v>
      </c>
      <c r="J102" s="1">
        <f t="shared" si="25"/>
        <v>50.74999999999999</v>
      </c>
      <c r="K102" s="1">
        <f t="shared" si="25"/>
        <v>59.338383838383834</v>
      </c>
      <c r="L102" s="1">
        <f t="shared" si="25"/>
        <v>76.73684210526316</v>
      </c>
    </row>
    <row r="103" spans="2:13" ht="15.75" hidden="1">
      <c r="B103" s="1">
        <f>C103+D103</f>
        <v>463000</v>
      </c>
      <c r="C103" s="1">
        <v>320000</v>
      </c>
      <c r="D103" s="1">
        <v>143000</v>
      </c>
      <c r="E103" s="1">
        <f>17163+3255</f>
        <v>20418</v>
      </c>
      <c r="F103" s="1">
        <f>8500+1689</f>
        <v>10189</v>
      </c>
      <c r="G103" s="1">
        <f>29294+6126</f>
        <v>35420</v>
      </c>
      <c r="H103" s="1">
        <f>10507+1401</f>
        <v>11908</v>
      </c>
      <c r="I103" s="1">
        <f>3213+952</f>
        <v>4165</v>
      </c>
      <c r="J103" s="1">
        <f>11427+5075</f>
        <v>16502</v>
      </c>
      <c r="K103" s="1">
        <f>19227+2970</f>
        <v>22197</v>
      </c>
      <c r="L103" s="1">
        <f>9271+2760</f>
        <v>12031</v>
      </c>
      <c r="M103" s="1">
        <f>SUM(E103:L103)</f>
        <v>132830</v>
      </c>
    </row>
    <row r="104" spans="3:13" ht="15.75" hidden="1">
      <c r="C104" s="1">
        <f>C103/(C80+C87)*100</f>
        <v>267.1118530884808</v>
      </c>
      <c r="D104" s="1">
        <f>D103/(D80+D87)*100</f>
        <v>203.70370370370372</v>
      </c>
      <c r="M104" s="1">
        <f>D103/M103*100</f>
        <v>107.65640292102687</v>
      </c>
    </row>
    <row r="105" spans="3:13" ht="15.75" hidden="1">
      <c r="C105" s="1">
        <f>C103/B103*100</f>
        <v>69.11447084233261</v>
      </c>
      <c r="E105" s="1">
        <v>22000</v>
      </c>
      <c r="F105" s="1">
        <v>11000</v>
      </c>
      <c r="G105" s="1">
        <v>38500</v>
      </c>
      <c r="H105" s="1">
        <v>12500</v>
      </c>
      <c r="I105" s="1">
        <v>5000</v>
      </c>
      <c r="J105" s="1">
        <v>17500</v>
      </c>
      <c r="K105" s="1">
        <f>143000-119000</f>
        <v>24000</v>
      </c>
      <c r="L105" s="1">
        <v>12500</v>
      </c>
      <c r="M105" s="1">
        <f>SUM(E105:L105)</f>
        <v>143000</v>
      </c>
    </row>
    <row r="106" spans="5:12" ht="15.75" hidden="1">
      <c r="E106" s="1">
        <f aca="true" t="shared" si="26" ref="E106:L106">E105/(E80+E87)*100</f>
        <v>423.0769230769231</v>
      </c>
      <c r="F106" s="1">
        <f t="shared" si="26"/>
        <v>211.53846153846155</v>
      </c>
      <c r="G106" s="1">
        <f t="shared" si="26"/>
        <v>326.271186440678</v>
      </c>
      <c r="H106" s="1">
        <f t="shared" si="26"/>
        <v>160.25641025641028</v>
      </c>
      <c r="I106" s="1">
        <f t="shared" si="26"/>
        <v>156.25</v>
      </c>
      <c r="J106" s="1">
        <f t="shared" si="26"/>
        <v>182.29166666666669</v>
      </c>
      <c r="K106" s="1">
        <f t="shared" si="26"/>
        <v>121.21212121212122</v>
      </c>
      <c r="L106" s="1">
        <f t="shared" si="26"/>
        <v>164.4736842105263</v>
      </c>
    </row>
    <row r="107" spans="7:11" ht="15.75" hidden="1">
      <c r="G107" s="1">
        <f>G105-1546</f>
        <v>36954</v>
      </c>
      <c r="K107" s="1">
        <f>K105-3200</f>
        <v>20800</v>
      </c>
    </row>
    <row r="108" spans="7:11" ht="15.75" hidden="1">
      <c r="G108" s="1" t="e">
        <f>G80+G87-#REF!</f>
        <v>#REF!</v>
      </c>
      <c r="K108" s="1" t="e">
        <f>K80+K87-#REF!</f>
        <v>#REF!</v>
      </c>
    </row>
    <row r="109" spans="7:11" ht="15.75" hidden="1">
      <c r="G109" s="1" t="e">
        <f>G107/G108*100</f>
        <v>#REF!</v>
      </c>
      <c r="K109" s="1" t="e">
        <f>K107/K108*100</f>
        <v>#REF!</v>
      </c>
    </row>
    <row r="110" ht="15.75" hidden="1"/>
    <row r="111" spans="8:11" ht="15.75" hidden="1">
      <c r="H111" s="1">
        <v>21288</v>
      </c>
      <c r="K111" s="1">
        <v>17628</v>
      </c>
    </row>
    <row r="112" spans="8:11" ht="15.75" hidden="1">
      <c r="H112" s="1">
        <v>10195</v>
      </c>
      <c r="K112" s="1">
        <v>7935</v>
      </c>
    </row>
    <row r="113" spans="8:11" ht="15.75" hidden="1">
      <c r="H113" s="1">
        <v>1425</v>
      </c>
      <c r="K113" s="1">
        <v>285</v>
      </c>
    </row>
    <row r="114" spans="8:11" ht="15.75" hidden="1">
      <c r="H114" s="1">
        <f>1767+3+36</f>
        <v>1806</v>
      </c>
      <c r="K114" s="1">
        <f>1415+137+156</f>
        <v>1708</v>
      </c>
    </row>
    <row r="115" spans="8:11" ht="15.75" hidden="1">
      <c r="H115" s="1">
        <f>SUM(H111:H114)</f>
        <v>34714</v>
      </c>
      <c r="K115" s="1">
        <f>SUM(K111:K114)</f>
        <v>27556</v>
      </c>
    </row>
    <row r="116" ht="15.75" hidden="1">
      <c r="H116" s="1" t="e">
        <f>H115/H85*100</f>
        <v>#DIV/0!</v>
      </c>
    </row>
    <row r="117" ht="15.75" hidden="1">
      <c r="H117" s="1" t="e">
        <f>H112/#REF!*100</f>
        <v>#REF!</v>
      </c>
    </row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spans="2:12" ht="14.25" customHeight="1">
      <c r="B987" s="143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</row>
  </sheetData>
  <mergeCells count="10">
    <mergeCell ref="A5:M5"/>
    <mergeCell ref="B987:L987"/>
    <mergeCell ref="A3:L3"/>
    <mergeCell ref="A4:L4"/>
    <mergeCell ref="A7:A9"/>
    <mergeCell ref="B7:B9"/>
    <mergeCell ref="C7:L7"/>
    <mergeCell ref="C8:C9"/>
    <mergeCell ref="D8:D9"/>
    <mergeCell ref="E8:L8"/>
  </mergeCells>
  <printOptions/>
  <pageMargins left="0.511811023622047" right="0.590551181102362" top="0.5" bottom="0.984251968503937" header="0.5" footer="0.511811023622047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4">
      <selection activeCell="D8" sqref="D8"/>
    </sheetView>
  </sheetViews>
  <sheetFormatPr defaultColWidth="9.140625" defaultRowHeight="12.75"/>
  <cols>
    <col min="1" max="1" width="5.00390625" style="11" customWidth="1"/>
    <col min="2" max="2" width="25.421875" style="13" customWidth="1"/>
    <col min="3" max="3" width="12.421875" style="11" customWidth="1"/>
    <col min="4" max="6" width="10.140625" style="11" customWidth="1"/>
    <col min="7" max="7" width="12.421875" style="11" customWidth="1"/>
    <col min="8" max="16384" width="10.28125" style="11" customWidth="1"/>
  </cols>
  <sheetData>
    <row r="3" spans="1:7" ht="18.75">
      <c r="A3" s="155" t="s">
        <v>88</v>
      </c>
      <c r="B3" s="155"/>
      <c r="C3" s="155"/>
      <c r="D3" s="155"/>
      <c r="E3" s="155"/>
      <c r="F3" s="155"/>
      <c r="G3" s="155"/>
    </row>
    <row r="4" spans="1:7" ht="18.75">
      <c r="A4" s="155" t="s">
        <v>89</v>
      </c>
      <c r="B4" s="155"/>
      <c r="C4" s="155"/>
      <c r="D4" s="155"/>
      <c r="E4" s="155"/>
      <c r="F4" s="155"/>
      <c r="G4" s="155"/>
    </row>
    <row r="5" spans="1:7" s="12" customFormat="1" ht="18.75">
      <c r="A5" s="155" t="s">
        <v>128</v>
      </c>
      <c r="B5" s="155"/>
      <c r="C5" s="155"/>
      <c r="D5" s="155"/>
      <c r="E5" s="155"/>
      <c r="F5" s="155"/>
      <c r="G5" s="155"/>
    </row>
    <row r="6" spans="1:12" s="12" customFormat="1" ht="18.75">
      <c r="A6" s="142" t="s">
        <v>145</v>
      </c>
      <c r="B6" s="142"/>
      <c r="C6" s="142"/>
      <c r="D6" s="142"/>
      <c r="E6" s="142"/>
      <c r="F6" s="142"/>
      <c r="G6" s="142"/>
      <c r="H6" s="97"/>
      <c r="I6" s="97"/>
      <c r="J6" s="97"/>
      <c r="K6" s="97"/>
      <c r="L6" s="97"/>
    </row>
    <row r="7" spans="1:7" s="12" customFormat="1" ht="15.75">
      <c r="A7" s="7"/>
      <c r="B7" s="7"/>
      <c r="C7" s="7"/>
      <c r="D7" s="7"/>
      <c r="E7" s="7"/>
      <c r="F7" s="7"/>
      <c r="G7" s="7"/>
    </row>
    <row r="8" spans="3:7" ht="15.75" customHeight="1">
      <c r="C8" s="14"/>
      <c r="D8" s="14"/>
      <c r="E8" s="151" t="s">
        <v>131</v>
      </c>
      <c r="F8" s="151"/>
      <c r="G8" s="151"/>
    </row>
    <row r="9" spans="1:7" ht="15.75" customHeight="1">
      <c r="A9" s="159" t="s">
        <v>90</v>
      </c>
      <c r="B9" s="162" t="s">
        <v>91</v>
      </c>
      <c r="C9" s="165" t="s">
        <v>92</v>
      </c>
      <c r="D9" s="156" t="s">
        <v>2</v>
      </c>
      <c r="E9" s="157"/>
      <c r="F9" s="157"/>
      <c r="G9" s="158"/>
    </row>
    <row r="10" spans="1:7" s="15" customFormat="1" ht="47.25" customHeight="1">
      <c r="A10" s="160"/>
      <c r="B10" s="163"/>
      <c r="C10" s="166"/>
      <c r="D10" s="168" t="s">
        <v>93</v>
      </c>
      <c r="E10" s="152" t="s">
        <v>94</v>
      </c>
      <c r="F10" s="153"/>
      <c r="G10" s="154"/>
    </row>
    <row r="11" spans="1:7" s="15" customFormat="1" ht="47.25">
      <c r="A11" s="161"/>
      <c r="B11" s="164"/>
      <c r="C11" s="167"/>
      <c r="D11" s="169"/>
      <c r="E11" s="99" t="s">
        <v>85</v>
      </c>
      <c r="F11" s="99" t="s">
        <v>127</v>
      </c>
      <c r="G11" s="99" t="s">
        <v>129</v>
      </c>
    </row>
    <row r="12" spans="1:7" s="16" customFormat="1" ht="30" customHeight="1">
      <c r="A12" s="127">
        <v>1</v>
      </c>
      <c r="B12" s="128">
        <v>2</v>
      </c>
      <c r="C12" s="129" t="s">
        <v>157</v>
      </c>
      <c r="D12" s="129">
        <v>4</v>
      </c>
      <c r="E12" s="129">
        <v>5</v>
      </c>
      <c r="F12" s="129">
        <v>6</v>
      </c>
      <c r="G12" s="129">
        <v>7</v>
      </c>
    </row>
    <row r="13" spans="1:7" s="18" customFormat="1" ht="24" customHeight="1">
      <c r="A13" s="17"/>
      <c r="B13" s="130" t="s">
        <v>92</v>
      </c>
      <c r="C13" s="131">
        <f>SUM(C14:C21)</f>
        <v>614400</v>
      </c>
      <c r="D13" s="131">
        <f>SUM(D14:D21)</f>
        <v>356945</v>
      </c>
      <c r="E13" s="131">
        <f>SUM(E14:E21)</f>
        <v>110300</v>
      </c>
      <c r="F13" s="131">
        <f>SUM(F14:F21)</f>
        <v>51900</v>
      </c>
      <c r="G13" s="131">
        <f>SUM(G14:G21)</f>
        <v>95255</v>
      </c>
    </row>
    <row r="14" spans="1:7" s="20" customFormat="1" ht="18.75">
      <c r="A14" s="132">
        <v>1</v>
      </c>
      <c r="B14" s="24" t="s">
        <v>95</v>
      </c>
      <c r="C14" s="19">
        <f aca="true" t="shared" si="0" ref="C14:C21">SUM(D14:G14)</f>
        <v>43243</v>
      </c>
      <c r="D14" s="19">
        <v>16412</v>
      </c>
      <c r="E14" s="19">
        <v>14000</v>
      </c>
      <c r="F14" s="19">
        <f>'Du toan Chi (2)'!F20</f>
        <v>0</v>
      </c>
      <c r="G14" s="19">
        <f>7905+4926</f>
        <v>12831</v>
      </c>
    </row>
    <row r="15" spans="1:7" s="20" customFormat="1" ht="18.75">
      <c r="A15" s="132">
        <v>2</v>
      </c>
      <c r="B15" s="24" t="s">
        <v>96</v>
      </c>
      <c r="C15" s="19">
        <f t="shared" si="0"/>
        <v>69654</v>
      </c>
      <c r="D15" s="19">
        <v>47139</v>
      </c>
      <c r="E15" s="19">
        <v>14000</v>
      </c>
      <c r="F15" s="19">
        <f>'Du toan Chi (2)'!G20</f>
        <v>0</v>
      </c>
      <c r="G15" s="19">
        <f>6968+1547</f>
        <v>8515</v>
      </c>
    </row>
    <row r="16" spans="1:7" s="21" customFormat="1" ht="18.75">
      <c r="A16" s="132">
        <v>3</v>
      </c>
      <c r="B16" s="24" t="s">
        <v>97</v>
      </c>
      <c r="C16" s="19">
        <f t="shared" si="0"/>
        <v>114301</v>
      </c>
      <c r="D16" s="19">
        <v>63898</v>
      </c>
      <c r="E16" s="19">
        <v>21500</v>
      </c>
      <c r="F16" s="19">
        <f>'Du toan Chi (2)'!H20</f>
        <v>10850</v>
      </c>
      <c r="G16" s="19">
        <f>17053+1000</f>
        <v>18053</v>
      </c>
    </row>
    <row r="17" spans="1:7" s="21" customFormat="1" ht="18.75">
      <c r="A17" s="132">
        <v>4</v>
      </c>
      <c r="B17" s="24" t="s">
        <v>98</v>
      </c>
      <c r="C17" s="19">
        <f t="shared" si="0"/>
        <v>92624</v>
      </c>
      <c r="D17" s="19">
        <v>55739</v>
      </c>
      <c r="E17" s="19">
        <v>11400</v>
      </c>
      <c r="F17" s="19">
        <f>'Du toan Chi (2)'!I20</f>
        <v>13350</v>
      </c>
      <c r="G17" s="19">
        <f>11265+870</f>
        <v>12135</v>
      </c>
    </row>
    <row r="18" spans="1:7" s="20" customFormat="1" ht="18.75">
      <c r="A18" s="132">
        <v>5</v>
      </c>
      <c r="B18" s="24" t="s">
        <v>99</v>
      </c>
      <c r="C18" s="19">
        <f t="shared" si="0"/>
        <v>78078</v>
      </c>
      <c r="D18" s="19">
        <v>39816</v>
      </c>
      <c r="E18" s="19">
        <v>9600</v>
      </c>
      <c r="F18" s="19">
        <f>'Du toan Chi (2)'!J20</f>
        <v>15350</v>
      </c>
      <c r="G18" s="19">
        <f>12512+800</f>
        <v>13312</v>
      </c>
    </row>
    <row r="19" spans="1:7" s="20" customFormat="1" ht="18.75">
      <c r="A19" s="132">
        <v>6</v>
      </c>
      <c r="B19" s="24" t="s">
        <v>100</v>
      </c>
      <c r="C19" s="19">
        <f t="shared" si="0"/>
        <v>88501</v>
      </c>
      <c r="D19" s="19">
        <v>59279</v>
      </c>
      <c r="E19" s="19">
        <v>12400</v>
      </c>
      <c r="F19" s="19">
        <f>'Du toan Chi (2)'!K20</f>
        <v>9850</v>
      </c>
      <c r="G19" s="19">
        <v>6972</v>
      </c>
    </row>
    <row r="20" spans="1:7" s="20" customFormat="1" ht="18.75">
      <c r="A20" s="132">
        <v>7</v>
      </c>
      <c r="B20" s="24" t="s">
        <v>101</v>
      </c>
      <c r="C20" s="19">
        <f t="shared" si="0"/>
        <v>79199</v>
      </c>
      <c r="D20" s="19">
        <v>47987</v>
      </c>
      <c r="E20" s="19">
        <v>18200</v>
      </c>
      <c r="F20" s="19">
        <f>'Du toan Chi (2)'!L20</f>
        <v>0</v>
      </c>
      <c r="G20" s="19">
        <f>11862+1150</f>
        <v>13012</v>
      </c>
    </row>
    <row r="21" spans="1:7" s="20" customFormat="1" ht="18.75">
      <c r="A21" s="132">
        <v>8</v>
      </c>
      <c r="B21" s="24" t="s">
        <v>102</v>
      </c>
      <c r="C21" s="19">
        <f t="shared" si="0"/>
        <v>48800</v>
      </c>
      <c r="D21" s="19">
        <v>26675</v>
      </c>
      <c r="E21" s="19">
        <v>9200</v>
      </c>
      <c r="F21" s="19">
        <f>'Du toan Chi (2)'!M20</f>
        <v>2500</v>
      </c>
      <c r="G21" s="19">
        <f>8393+2032</f>
        <v>10425</v>
      </c>
    </row>
    <row r="22" spans="1:7" ht="6.75" customHeight="1">
      <c r="A22" s="22"/>
      <c r="B22" s="23"/>
      <c r="C22" s="22"/>
      <c r="D22" s="22"/>
      <c r="E22" s="22"/>
      <c r="F22" s="22"/>
      <c r="G22" s="22"/>
    </row>
  </sheetData>
  <mergeCells count="11">
    <mergeCell ref="D10:D11"/>
    <mergeCell ref="E8:G8"/>
    <mergeCell ref="E10:G10"/>
    <mergeCell ref="A3:G3"/>
    <mergeCell ref="A5:G5"/>
    <mergeCell ref="D9:G9"/>
    <mergeCell ref="A6:G6"/>
    <mergeCell ref="A4:G4"/>
    <mergeCell ref="A9:A11"/>
    <mergeCell ref="B9:B11"/>
    <mergeCell ref="C9:C11"/>
  </mergeCells>
  <printOptions horizontalCentered="1"/>
  <pageMargins left="0.4" right="0.5" top="1" bottom="1" header="0.5" footer="0.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D15" sqref="D15"/>
    </sheetView>
  </sheetViews>
  <sheetFormatPr defaultColWidth="9.140625" defaultRowHeight="12.75"/>
  <cols>
    <col min="1" max="1" width="5.00390625" style="171" customWidth="1"/>
    <col min="2" max="2" width="41.00390625" style="220" customWidth="1"/>
    <col min="3" max="3" width="0.13671875" style="220" hidden="1" customWidth="1"/>
    <col min="4" max="4" width="9.140625" style="221" customWidth="1"/>
    <col min="5" max="5" width="11.421875" style="223" customWidth="1"/>
    <col min="6" max="6" width="9.28125" style="223" customWidth="1"/>
    <col min="7" max="7" width="11.00390625" style="223" customWidth="1"/>
    <col min="8" max="8" width="11.8515625" style="223" customWidth="1"/>
    <col min="9" max="16384" width="8.00390625" style="171" customWidth="1"/>
  </cols>
  <sheetData>
    <row r="1" spans="1:8" ht="18.75">
      <c r="A1" s="170" t="s">
        <v>158</v>
      </c>
      <c r="B1" s="170"/>
      <c r="C1" s="170"/>
      <c r="D1" s="170"/>
      <c r="E1" s="170"/>
      <c r="F1" s="170"/>
      <c r="G1" s="170"/>
      <c r="H1" s="170"/>
    </row>
    <row r="2" spans="1:8" s="172" customFormat="1" ht="18.75">
      <c r="A2" s="170" t="s">
        <v>159</v>
      </c>
      <c r="B2" s="170"/>
      <c r="C2" s="170"/>
      <c r="D2" s="170"/>
      <c r="E2" s="170"/>
      <c r="F2" s="170"/>
      <c r="G2" s="170"/>
      <c r="H2" s="170"/>
    </row>
    <row r="3" spans="1:13" s="172" customFormat="1" ht="18.75" customHeight="1">
      <c r="A3" s="142" t="s">
        <v>145</v>
      </c>
      <c r="B3" s="142"/>
      <c r="C3" s="142"/>
      <c r="D3" s="142"/>
      <c r="E3" s="142"/>
      <c r="F3" s="142"/>
      <c r="G3" s="142"/>
      <c r="H3" s="142"/>
      <c r="I3" s="97"/>
      <c r="J3" s="97"/>
      <c r="K3" s="97"/>
      <c r="L3" s="97"/>
      <c r="M3" s="97"/>
    </row>
    <row r="4" spans="2:8" s="173" customFormat="1" ht="18.75">
      <c r="B4" s="174"/>
      <c r="C4" s="174"/>
      <c r="D4" s="175"/>
      <c r="E4" s="176"/>
      <c r="F4" s="176"/>
      <c r="G4" s="177" t="s">
        <v>160</v>
      </c>
      <c r="H4" s="177"/>
    </row>
    <row r="5" spans="1:8" s="181" customFormat="1" ht="26.25" customHeight="1">
      <c r="A5" s="178" t="s">
        <v>90</v>
      </c>
      <c r="B5" s="179" t="s">
        <v>161</v>
      </c>
      <c r="C5" s="180"/>
      <c r="D5" s="178" t="s">
        <v>162</v>
      </c>
      <c r="E5" s="178" t="s">
        <v>125</v>
      </c>
      <c r="F5" s="178" t="s">
        <v>163</v>
      </c>
      <c r="G5" s="178"/>
      <c r="H5" s="178" t="s">
        <v>164</v>
      </c>
    </row>
    <row r="6" spans="1:8" s="185" customFormat="1" ht="31.5" customHeight="1">
      <c r="A6" s="182"/>
      <c r="B6" s="182"/>
      <c r="C6" s="183"/>
      <c r="D6" s="178"/>
      <c r="E6" s="178"/>
      <c r="F6" s="184" t="s">
        <v>165</v>
      </c>
      <c r="G6" s="184" t="s">
        <v>166</v>
      </c>
      <c r="H6" s="178"/>
    </row>
    <row r="7" spans="1:8" s="189" customFormat="1" ht="15.75" customHeight="1">
      <c r="A7" s="186" t="s">
        <v>167</v>
      </c>
      <c r="B7" s="187" t="s">
        <v>168</v>
      </c>
      <c r="C7" s="187"/>
      <c r="D7" s="187"/>
      <c r="E7" s="188">
        <f>SUM(E8:E9)</f>
        <v>2616</v>
      </c>
      <c r="F7" s="188">
        <f>SUM(F8:F9)</f>
        <v>0</v>
      </c>
      <c r="G7" s="188">
        <f>SUM(G8:G9)</f>
        <v>2616</v>
      </c>
      <c r="H7" s="188">
        <f>SUM(H8:H9)</f>
        <v>0</v>
      </c>
    </row>
    <row r="8" spans="1:8" s="193" customFormat="1" ht="15.75" customHeight="1">
      <c r="A8" s="190">
        <v>1</v>
      </c>
      <c r="B8" s="191" t="s">
        <v>169</v>
      </c>
      <c r="C8" s="191"/>
      <c r="D8" s="191"/>
      <c r="E8" s="192">
        <f>F8+G8</f>
        <v>480</v>
      </c>
      <c r="F8" s="192"/>
      <c r="G8" s="192">
        <v>480</v>
      </c>
      <c r="H8" s="192"/>
    </row>
    <row r="9" spans="1:8" s="194" customFormat="1" ht="15.75" customHeight="1">
      <c r="A9" s="190">
        <v>2</v>
      </c>
      <c r="B9" s="191" t="s">
        <v>170</v>
      </c>
      <c r="C9" s="191"/>
      <c r="D9" s="191"/>
      <c r="E9" s="192">
        <f>F9+G9</f>
        <v>2136</v>
      </c>
      <c r="F9" s="192"/>
      <c r="G9" s="192">
        <v>2136</v>
      </c>
      <c r="H9" s="192"/>
    </row>
    <row r="10" spans="1:8" s="189" customFormat="1" ht="15.75" customHeight="1">
      <c r="A10" s="195" t="s">
        <v>171</v>
      </c>
      <c r="B10" s="196" t="s">
        <v>172</v>
      </c>
      <c r="C10" s="196"/>
      <c r="D10" s="197">
        <f>D11+D15+D24+D28</f>
        <v>300</v>
      </c>
      <c r="E10" s="197">
        <f>E11+E15+E24+E28</f>
        <v>72806.5</v>
      </c>
      <c r="F10" s="197">
        <f>F11+F15+F24+F28</f>
        <v>23066.5</v>
      </c>
      <c r="G10" s="197">
        <f>G11+G15+G24+G28</f>
        <v>49740</v>
      </c>
      <c r="H10" s="197">
        <f>H11+H15+H24+H28</f>
        <v>987.5</v>
      </c>
    </row>
    <row r="11" spans="1:8" s="189" customFormat="1" ht="15.75" customHeight="1">
      <c r="A11" s="195" t="s">
        <v>173</v>
      </c>
      <c r="B11" s="196" t="s">
        <v>174</v>
      </c>
      <c r="C11" s="196"/>
      <c r="D11" s="197">
        <f>D12+D13+D14</f>
        <v>104</v>
      </c>
      <c r="E11" s="197">
        <f>E12+E13+E14</f>
        <v>14603</v>
      </c>
      <c r="F11" s="197">
        <f>F13+F14</f>
        <v>5223</v>
      </c>
      <c r="G11" s="197">
        <f>G12+G13+G14</f>
        <v>9380</v>
      </c>
      <c r="H11" s="197">
        <f>SUM(H12:H14)</f>
        <v>184.1</v>
      </c>
    </row>
    <row r="12" spans="1:8" s="193" customFormat="1" ht="15.75" customHeight="1">
      <c r="A12" s="190">
        <v>1</v>
      </c>
      <c r="B12" s="191" t="s">
        <v>175</v>
      </c>
      <c r="C12" s="191"/>
      <c r="D12" s="191"/>
      <c r="E12" s="192">
        <f>G12</f>
        <v>8860</v>
      </c>
      <c r="F12" s="192"/>
      <c r="G12" s="192">
        <v>8860</v>
      </c>
      <c r="H12" s="192"/>
    </row>
    <row r="13" spans="1:8" s="193" customFormat="1" ht="15.75" customHeight="1">
      <c r="A13" s="190">
        <v>2</v>
      </c>
      <c r="B13" s="191" t="s">
        <v>176</v>
      </c>
      <c r="C13" s="191"/>
      <c r="D13" s="191">
        <v>89</v>
      </c>
      <c r="E13" s="192">
        <f>F13+G13</f>
        <v>4935.5</v>
      </c>
      <c r="F13" s="192">
        <v>4615.5</v>
      </c>
      <c r="G13" s="192">
        <v>320</v>
      </c>
      <c r="H13" s="192">
        <v>158</v>
      </c>
    </row>
    <row r="14" spans="1:8" s="193" customFormat="1" ht="15.75" customHeight="1">
      <c r="A14" s="190">
        <v>3</v>
      </c>
      <c r="B14" s="191" t="s">
        <v>177</v>
      </c>
      <c r="C14" s="191"/>
      <c r="D14" s="191">
        <v>15</v>
      </c>
      <c r="E14" s="192">
        <f>F14+G14</f>
        <v>807.5</v>
      </c>
      <c r="F14" s="192">
        <v>607.5</v>
      </c>
      <c r="G14" s="192">
        <v>200</v>
      </c>
      <c r="H14" s="192">
        <v>26.1</v>
      </c>
    </row>
    <row r="15" spans="1:8" s="189" customFormat="1" ht="15.75" customHeight="1">
      <c r="A15" s="195" t="s">
        <v>178</v>
      </c>
      <c r="B15" s="196" t="s">
        <v>179</v>
      </c>
      <c r="C15" s="196"/>
      <c r="D15" s="196"/>
      <c r="E15" s="197">
        <f>SUM(E16:E23)</f>
        <v>24981.5</v>
      </c>
      <c r="F15" s="197">
        <f>SUM(F16:F23)</f>
        <v>9085.5</v>
      </c>
      <c r="G15" s="197">
        <f>SUM(G16:G23)</f>
        <v>15896</v>
      </c>
      <c r="H15" s="197">
        <f>SUM(H16:H23)</f>
        <v>368.09999999999997</v>
      </c>
    </row>
    <row r="16" spans="1:8" s="193" customFormat="1" ht="15.75" customHeight="1">
      <c r="A16" s="190">
        <v>1</v>
      </c>
      <c r="B16" s="191" t="s">
        <v>180</v>
      </c>
      <c r="C16" s="191"/>
      <c r="D16" s="191"/>
      <c r="E16" s="192">
        <v>3073</v>
      </c>
      <c r="F16" s="192"/>
      <c r="G16" s="192">
        <v>3073</v>
      </c>
      <c r="H16" s="192"/>
    </row>
    <row r="17" spans="1:8" s="193" customFormat="1" ht="15.75" customHeight="1">
      <c r="A17" s="190">
        <v>2</v>
      </c>
      <c r="B17" s="191" t="s">
        <v>181</v>
      </c>
      <c r="C17" s="191"/>
      <c r="D17" s="191">
        <v>57</v>
      </c>
      <c r="E17" s="192">
        <f>F17+G17</f>
        <v>8385.5</v>
      </c>
      <c r="F17" s="192">
        <v>2976.5</v>
      </c>
      <c r="G17" s="192">
        <v>5409</v>
      </c>
      <c r="H17" s="192">
        <v>100.2</v>
      </c>
    </row>
    <row r="18" spans="1:8" s="193" customFormat="1" ht="15.75" customHeight="1">
      <c r="A18" s="190">
        <v>3</v>
      </c>
      <c r="B18" s="191" t="s">
        <v>182</v>
      </c>
      <c r="C18" s="191"/>
      <c r="D18" s="191">
        <v>49</v>
      </c>
      <c r="E18" s="192">
        <f aca="true" t="shared" si="0" ref="E18:E23">F18+G18</f>
        <v>4712.5</v>
      </c>
      <c r="F18" s="192">
        <v>2092.5</v>
      </c>
      <c r="G18" s="192">
        <v>2620</v>
      </c>
      <c r="H18" s="192">
        <v>81.3</v>
      </c>
    </row>
    <row r="19" spans="1:8" s="193" customFormat="1" ht="15.75" customHeight="1">
      <c r="A19" s="190">
        <v>4</v>
      </c>
      <c r="B19" s="191" t="s">
        <v>183</v>
      </c>
      <c r="C19" s="191"/>
      <c r="D19" s="191">
        <v>52</v>
      </c>
      <c r="E19" s="192">
        <f t="shared" si="0"/>
        <v>4736</v>
      </c>
      <c r="F19" s="192">
        <v>2106</v>
      </c>
      <c r="G19" s="192">
        <v>2630</v>
      </c>
      <c r="H19" s="192">
        <v>109.7</v>
      </c>
    </row>
    <row r="20" spans="1:8" s="193" customFormat="1" ht="15.75" customHeight="1">
      <c r="A20" s="190">
        <v>5</v>
      </c>
      <c r="B20" s="191" t="s">
        <v>184</v>
      </c>
      <c r="C20" s="191"/>
      <c r="D20" s="191">
        <v>16</v>
      </c>
      <c r="E20" s="192">
        <f t="shared" si="0"/>
        <v>1033</v>
      </c>
      <c r="F20" s="192">
        <v>648</v>
      </c>
      <c r="G20" s="192">
        <v>385</v>
      </c>
      <c r="H20" s="192">
        <v>24</v>
      </c>
    </row>
    <row r="21" spans="1:8" s="193" customFormat="1" ht="15.75" customHeight="1">
      <c r="A21" s="190">
        <v>6</v>
      </c>
      <c r="B21" s="191" t="s">
        <v>185</v>
      </c>
      <c r="C21" s="191"/>
      <c r="D21" s="191">
        <v>13</v>
      </c>
      <c r="E21" s="192">
        <f t="shared" si="0"/>
        <v>1957.5</v>
      </c>
      <c r="F21" s="192">
        <v>776.5</v>
      </c>
      <c r="G21" s="192">
        <v>1181</v>
      </c>
      <c r="H21" s="192">
        <v>26</v>
      </c>
    </row>
    <row r="22" spans="1:8" s="193" customFormat="1" ht="15.75" customHeight="1">
      <c r="A22" s="190">
        <v>7</v>
      </c>
      <c r="B22" s="191" t="s">
        <v>186</v>
      </c>
      <c r="C22" s="191"/>
      <c r="D22" s="191">
        <v>12</v>
      </c>
      <c r="E22" s="192">
        <f t="shared" si="0"/>
        <v>584</v>
      </c>
      <c r="F22" s="192">
        <v>486</v>
      </c>
      <c r="G22" s="192">
        <v>98</v>
      </c>
      <c r="H22" s="192">
        <v>26.9</v>
      </c>
    </row>
    <row r="23" spans="1:8" s="193" customFormat="1" ht="15.75" customHeight="1">
      <c r="A23" s="190">
        <v>8</v>
      </c>
      <c r="B23" s="191" t="s">
        <v>187</v>
      </c>
      <c r="C23" s="191"/>
      <c r="D23" s="191"/>
      <c r="E23" s="192">
        <f t="shared" si="0"/>
        <v>500</v>
      </c>
      <c r="F23" s="192"/>
      <c r="G23" s="192">
        <v>500</v>
      </c>
      <c r="H23" s="192"/>
    </row>
    <row r="24" spans="1:8" s="189" customFormat="1" ht="15.75" customHeight="1">
      <c r="A24" s="195" t="s">
        <v>188</v>
      </c>
      <c r="B24" s="196" t="s">
        <v>189</v>
      </c>
      <c r="C24" s="196"/>
      <c r="D24" s="197">
        <f>SUM(D25:D26)</f>
        <v>45</v>
      </c>
      <c r="E24" s="197">
        <f>SUM(E25:E27)</f>
        <v>7210.5</v>
      </c>
      <c r="F24" s="197">
        <f>SUM(F25:F27)</f>
        <v>1822.5</v>
      </c>
      <c r="G24" s="197">
        <f>SUM(G25:G27)</f>
        <v>5388</v>
      </c>
      <c r="H24" s="197">
        <f>SUM(H25:H26)</f>
        <v>96.1</v>
      </c>
    </row>
    <row r="25" spans="1:8" s="193" customFormat="1" ht="15.75" customHeight="1">
      <c r="A25" s="190">
        <v>1</v>
      </c>
      <c r="B25" s="191" t="s">
        <v>190</v>
      </c>
      <c r="C25" s="191"/>
      <c r="D25" s="191">
        <v>33</v>
      </c>
      <c r="E25" s="192">
        <f>F25+G25</f>
        <v>1386.5</v>
      </c>
      <c r="F25" s="192">
        <v>1336.5</v>
      </c>
      <c r="G25" s="192">
        <v>50</v>
      </c>
      <c r="H25" s="192">
        <v>66.1</v>
      </c>
    </row>
    <row r="26" spans="1:8" s="193" customFormat="1" ht="15.75" customHeight="1">
      <c r="A26" s="190">
        <v>2</v>
      </c>
      <c r="B26" s="191" t="s">
        <v>191</v>
      </c>
      <c r="C26" s="191"/>
      <c r="D26" s="191">
        <v>12</v>
      </c>
      <c r="E26" s="192">
        <f>F26+G26</f>
        <v>824</v>
      </c>
      <c r="F26" s="192">
        <v>486</v>
      </c>
      <c r="G26" s="192">
        <v>338</v>
      </c>
      <c r="H26" s="192">
        <v>30</v>
      </c>
    </row>
    <row r="27" spans="1:8" s="194" customFormat="1" ht="15.75" customHeight="1">
      <c r="A27" s="190">
        <v>3</v>
      </c>
      <c r="B27" s="191" t="s">
        <v>192</v>
      </c>
      <c r="C27" s="191"/>
      <c r="D27" s="191"/>
      <c r="E27" s="192">
        <f>F27+G27</f>
        <v>5000</v>
      </c>
      <c r="F27" s="192">
        <v>0</v>
      </c>
      <c r="G27" s="192">
        <v>5000</v>
      </c>
      <c r="H27" s="192"/>
    </row>
    <row r="28" spans="1:8" s="189" customFormat="1" ht="15.75" customHeight="1">
      <c r="A28" s="195" t="s">
        <v>193</v>
      </c>
      <c r="B28" s="196" t="s">
        <v>194</v>
      </c>
      <c r="C28" s="196"/>
      <c r="D28" s="197">
        <f>SUM(D29:D40)</f>
        <v>151</v>
      </c>
      <c r="E28" s="197">
        <f>SUM(E29:E40)</f>
        <v>26011.5</v>
      </c>
      <c r="F28" s="197">
        <f>SUM(F29:F40)</f>
        <v>6935.5</v>
      </c>
      <c r="G28" s="197">
        <f>SUM(G29:G40)</f>
        <v>19076</v>
      </c>
      <c r="H28" s="197">
        <f>SUM(H29:H40)</f>
        <v>339.2</v>
      </c>
    </row>
    <row r="29" spans="1:8" s="193" customFormat="1" ht="15.75" customHeight="1">
      <c r="A29" s="190">
        <v>1</v>
      </c>
      <c r="B29" s="191" t="s">
        <v>195</v>
      </c>
      <c r="C29" s="191"/>
      <c r="D29" s="191">
        <v>12</v>
      </c>
      <c r="E29" s="192">
        <f aca="true" t="shared" si="1" ref="E29:E39">F29+G29</f>
        <v>536</v>
      </c>
      <c r="F29" s="192">
        <v>486</v>
      </c>
      <c r="G29" s="192">
        <v>50</v>
      </c>
      <c r="H29" s="192">
        <v>23.2</v>
      </c>
    </row>
    <row r="30" spans="1:8" s="193" customFormat="1" ht="15.75" customHeight="1">
      <c r="A30" s="190">
        <v>2</v>
      </c>
      <c r="B30" s="191" t="s">
        <v>196</v>
      </c>
      <c r="C30" s="191"/>
      <c r="D30" s="191"/>
      <c r="E30" s="192">
        <f t="shared" si="1"/>
        <v>845</v>
      </c>
      <c r="F30" s="192">
        <v>345</v>
      </c>
      <c r="G30" s="192">
        <v>500</v>
      </c>
      <c r="H30" s="192"/>
    </row>
    <row r="31" spans="1:8" s="193" customFormat="1" ht="15.75" customHeight="1">
      <c r="A31" s="190">
        <v>3</v>
      </c>
      <c r="B31" s="191" t="s">
        <v>197</v>
      </c>
      <c r="C31" s="191"/>
      <c r="D31" s="191">
        <v>24</v>
      </c>
      <c r="E31" s="192">
        <f t="shared" si="1"/>
        <v>1084</v>
      </c>
      <c r="F31" s="192">
        <v>972</v>
      </c>
      <c r="G31" s="192">
        <v>112</v>
      </c>
      <c r="H31" s="192">
        <v>53.9</v>
      </c>
    </row>
    <row r="32" spans="1:8" s="193" customFormat="1" ht="15.75" customHeight="1">
      <c r="A32" s="190">
        <v>4</v>
      </c>
      <c r="B32" s="191" t="s">
        <v>198</v>
      </c>
      <c r="C32" s="191"/>
      <c r="D32" s="191">
        <v>15</v>
      </c>
      <c r="E32" s="192">
        <f t="shared" si="1"/>
        <v>637.5</v>
      </c>
      <c r="F32" s="192">
        <f>15*40.5</f>
        <v>607.5</v>
      </c>
      <c r="G32" s="192">
        <v>30</v>
      </c>
      <c r="H32" s="192">
        <v>33.6</v>
      </c>
    </row>
    <row r="33" spans="1:8" s="193" customFormat="1" ht="15.75" customHeight="1">
      <c r="A33" s="190">
        <v>5</v>
      </c>
      <c r="B33" s="191" t="s">
        <v>199</v>
      </c>
      <c r="C33" s="191"/>
      <c r="D33" s="191">
        <v>18</v>
      </c>
      <c r="E33" s="192">
        <f>F33+G33</f>
        <v>789</v>
      </c>
      <c r="F33" s="192">
        <v>729</v>
      </c>
      <c r="G33" s="192">
        <v>60</v>
      </c>
      <c r="H33" s="192">
        <v>55.9</v>
      </c>
    </row>
    <row r="34" spans="1:8" s="193" customFormat="1" ht="15.75" customHeight="1">
      <c r="A34" s="190">
        <v>6</v>
      </c>
      <c r="B34" s="191" t="s">
        <v>200</v>
      </c>
      <c r="C34" s="191"/>
      <c r="D34" s="191">
        <v>10</v>
      </c>
      <c r="E34" s="192">
        <f t="shared" si="1"/>
        <v>905</v>
      </c>
      <c r="F34" s="192">
        <v>405</v>
      </c>
      <c r="G34" s="192">
        <v>500</v>
      </c>
      <c r="H34" s="192">
        <v>18.9</v>
      </c>
    </row>
    <row r="35" spans="1:8" s="193" customFormat="1" ht="15.75" customHeight="1">
      <c r="A35" s="190">
        <v>7</v>
      </c>
      <c r="B35" s="191" t="s">
        <v>201</v>
      </c>
      <c r="C35" s="191"/>
      <c r="D35" s="191">
        <v>15</v>
      </c>
      <c r="E35" s="192">
        <f t="shared" si="1"/>
        <v>1717.5</v>
      </c>
      <c r="F35" s="192">
        <v>607.5</v>
      </c>
      <c r="G35" s="192">
        <v>1110</v>
      </c>
      <c r="H35" s="192">
        <v>33</v>
      </c>
    </row>
    <row r="36" spans="1:8" s="193" customFormat="1" ht="15.75" customHeight="1">
      <c r="A36" s="190">
        <v>8</v>
      </c>
      <c r="B36" s="191" t="s">
        <v>202</v>
      </c>
      <c r="C36" s="191"/>
      <c r="D36" s="191">
        <v>6</v>
      </c>
      <c r="E36" s="192">
        <f t="shared" si="1"/>
        <v>443</v>
      </c>
      <c r="F36" s="192">
        <v>243</v>
      </c>
      <c r="G36" s="192">
        <v>200</v>
      </c>
      <c r="H36" s="192">
        <v>12</v>
      </c>
    </row>
    <row r="37" spans="1:8" s="193" customFormat="1" ht="15.75" customHeight="1">
      <c r="A37" s="190">
        <v>9</v>
      </c>
      <c r="B37" s="191" t="s">
        <v>203</v>
      </c>
      <c r="C37" s="191"/>
      <c r="D37" s="191">
        <v>7</v>
      </c>
      <c r="E37" s="192">
        <f>F37+G37</f>
        <v>353.5</v>
      </c>
      <c r="F37" s="192">
        <v>283.5</v>
      </c>
      <c r="G37" s="192">
        <v>70</v>
      </c>
      <c r="H37" s="192">
        <v>16.1</v>
      </c>
    </row>
    <row r="38" spans="1:8" s="193" customFormat="1" ht="15.75" customHeight="1">
      <c r="A38" s="190">
        <v>10</v>
      </c>
      <c r="B38" s="191" t="s">
        <v>204</v>
      </c>
      <c r="C38" s="191"/>
      <c r="D38" s="191"/>
      <c r="E38" s="192">
        <f t="shared" si="1"/>
        <v>1000</v>
      </c>
      <c r="F38" s="192"/>
      <c r="G38" s="192">
        <v>1000</v>
      </c>
      <c r="H38" s="192"/>
    </row>
    <row r="39" spans="1:8" s="193" customFormat="1" ht="15.75" customHeight="1">
      <c r="A39" s="190">
        <v>11</v>
      </c>
      <c r="B39" s="191" t="s">
        <v>205</v>
      </c>
      <c r="C39" s="191"/>
      <c r="D39" s="191"/>
      <c r="E39" s="192">
        <f t="shared" si="1"/>
        <v>10400</v>
      </c>
      <c r="F39" s="192"/>
      <c r="G39" s="192">
        <v>10400</v>
      </c>
      <c r="H39" s="192"/>
    </row>
    <row r="40" spans="1:8" s="193" customFormat="1" ht="52.5" customHeight="1">
      <c r="A40" s="190">
        <v>12</v>
      </c>
      <c r="B40" s="198" t="s">
        <v>206</v>
      </c>
      <c r="C40" s="198"/>
      <c r="D40" s="199">
        <f>29+15</f>
        <v>44</v>
      </c>
      <c r="E40" s="192">
        <f>F40+G40</f>
        <v>7301</v>
      </c>
      <c r="F40" s="192">
        <f>1634.5+622.5</f>
        <v>2257</v>
      </c>
      <c r="G40" s="192">
        <f>950+94+4000</f>
        <v>5044</v>
      </c>
      <c r="H40" s="192">
        <v>92.6</v>
      </c>
    </row>
    <row r="41" spans="1:8" s="189" customFormat="1" ht="15.75" customHeight="1">
      <c r="A41" s="195" t="s">
        <v>207</v>
      </c>
      <c r="B41" s="196" t="s">
        <v>208</v>
      </c>
      <c r="C41" s="196"/>
      <c r="D41" s="197">
        <f>D42+D46</f>
        <v>2751</v>
      </c>
      <c r="E41" s="197">
        <f>E42+E46</f>
        <v>121725.7</v>
      </c>
      <c r="F41" s="197">
        <f>F42+F46</f>
        <v>112149.7</v>
      </c>
      <c r="G41" s="197">
        <f>G42+G46</f>
        <v>9576</v>
      </c>
      <c r="H41" s="197">
        <f>H42+H46</f>
        <v>1672</v>
      </c>
    </row>
    <row r="42" spans="1:8" s="189" customFormat="1" ht="15.75" customHeight="1">
      <c r="A42" s="195" t="s">
        <v>209</v>
      </c>
      <c r="B42" s="196" t="s">
        <v>210</v>
      </c>
      <c r="C42" s="196"/>
      <c r="D42" s="197">
        <f>SUM(D43:D45)</f>
        <v>2500</v>
      </c>
      <c r="E42" s="197">
        <f>SUM(E43:E45)</f>
        <v>94442.4</v>
      </c>
      <c r="F42" s="197">
        <f>SUM(F43:F45)</f>
        <v>90936.4</v>
      </c>
      <c r="G42" s="197">
        <f>SUM(G43:G45)</f>
        <v>3506</v>
      </c>
      <c r="H42" s="197">
        <f>H43+H44+H45</f>
        <v>1241</v>
      </c>
    </row>
    <row r="43" spans="1:8" s="193" customFormat="1" ht="15.75" customHeight="1">
      <c r="A43" s="190">
        <v>1</v>
      </c>
      <c r="B43" s="200" t="s">
        <v>211</v>
      </c>
      <c r="C43" s="200"/>
      <c r="D43" s="200">
        <v>2373</v>
      </c>
      <c r="E43" s="192">
        <f>F43+G43</f>
        <v>84433.8</v>
      </c>
      <c r="F43" s="192">
        <v>81453.8</v>
      </c>
      <c r="G43" s="192">
        <v>2980</v>
      </c>
      <c r="H43" s="192">
        <v>1092</v>
      </c>
    </row>
    <row r="44" spans="1:8" s="193" customFormat="1" ht="15.75" customHeight="1">
      <c r="A44" s="190">
        <v>2</v>
      </c>
      <c r="B44" s="200" t="s">
        <v>212</v>
      </c>
      <c r="C44" s="200"/>
      <c r="D44" s="200">
        <f>2500-2373-70</f>
        <v>57</v>
      </c>
      <c r="E44" s="192">
        <f>F44+G44</f>
        <v>5498.4</v>
      </c>
      <c r="F44" s="192">
        <v>5232.4</v>
      </c>
      <c r="G44" s="192">
        <v>266</v>
      </c>
      <c r="H44" s="192">
        <v>102</v>
      </c>
    </row>
    <row r="45" spans="1:8" s="193" customFormat="1" ht="15.75" customHeight="1">
      <c r="A45" s="190">
        <v>3</v>
      </c>
      <c r="B45" s="191" t="s">
        <v>213</v>
      </c>
      <c r="C45" s="191"/>
      <c r="D45" s="191">
        <v>70</v>
      </c>
      <c r="E45" s="192">
        <f>F45+G45</f>
        <v>4510.2</v>
      </c>
      <c r="F45" s="192">
        <v>4250.2</v>
      </c>
      <c r="G45" s="192">
        <v>260</v>
      </c>
      <c r="H45" s="192">
        <v>47</v>
      </c>
    </row>
    <row r="46" spans="1:8" s="189" customFormat="1" ht="15.75" customHeight="1">
      <c r="A46" s="195" t="s">
        <v>214</v>
      </c>
      <c r="B46" s="196" t="s">
        <v>215</v>
      </c>
      <c r="C46" s="196"/>
      <c r="D46" s="197">
        <f>SUM(D47:D51)</f>
        <v>251</v>
      </c>
      <c r="E46" s="197">
        <f>SUM(E47:E51)</f>
        <v>27283.3</v>
      </c>
      <c r="F46" s="197">
        <f>SUM(F47:F51)</f>
        <v>21213.3</v>
      </c>
      <c r="G46" s="197">
        <f>SUM(G47:G51)</f>
        <v>6070</v>
      </c>
      <c r="H46" s="197">
        <f>SUM(H47:H51)</f>
        <v>431</v>
      </c>
    </row>
    <row r="47" spans="1:8" s="193" customFormat="1" ht="15.75" customHeight="1">
      <c r="A47" s="190">
        <v>1</v>
      </c>
      <c r="B47" s="191" t="s">
        <v>216</v>
      </c>
      <c r="C47" s="191"/>
      <c r="D47" s="191">
        <v>106</v>
      </c>
      <c r="E47" s="192">
        <f>F47+G47</f>
        <v>6430.3</v>
      </c>
      <c r="F47" s="192">
        <v>6240.3</v>
      </c>
      <c r="G47" s="192">
        <v>190</v>
      </c>
      <c r="H47" s="192">
        <v>162</v>
      </c>
    </row>
    <row r="48" spans="1:8" s="193" customFormat="1" ht="15.75" customHeight="1">
      <c r="A48" s="190">
        <v>2</v>
      </c>
      <c r="B48" s="191" t="s">
        <v>217</v>
      </c>
      <c r="C48" s="191"/>
      <c r="D48" s="191">
        <v>39</v>
      </c>
      <c r="E48" s="192">
        <f>F48+G48</f>
        <v>5657</v>
      </c>
      <c r="F48" s="192">
        <v>5327</v>
      </c>
      <c r="G48" s="192">
        <v>330</v>
      </c>
      <c r="H48" s="192">
        <v>68</v>
      </c>
    </row>
    <row r="49" spans="1:8" s="193" customFormat="1" ht="15.75" customHeight="1">
      <c r="A49" s="190">
        <v>3</v>
      </c>
      <c r="B49" s="191" t="s">
        <v>218</v>
      </c>
      <c r="C49" s="191"/>
      <c r="D49" s="191">
        <v>60</v>
      </c>
      <c r="E49" s="192">
        <f>F49+G49</f>
        <v>6610</v>
      </c>
      <c r="F49" s="192">
        <v>6060</v>
      </c>
      <c r="G49" s="192">
        <v>550</v>
      </c>
      <c r="H49" s="192">
        <v>147</v>
      </c>
    </row>
    <row r="50" spans="1:8" s="193" customFormat="1" ht="15.75" customHeight="1">
      <c r="A50" s="190">
        <v>4</v>
      </c>
      <c r="B50" s="201" t="s">
        <v>219</v>
      </c>
      <c r="C50" s="201"/>
      <c r="D50" s="202">
        <v>46</v>
      </c>
      <c r="E50" s="192">
        <f>F50+G50</f>
        <v>3586</v>
      </c>
      <c r="F50" s="192">
        <v>3586</v>
      </c>
      <c r="G50" s="192"/>
      <c r="H50" s="192">
        <v>54</v>
      </c>
    </row>
    <row r="51" spans="1:8" s="193" customFormat="1" ht="15.75" customHeight="1">
      <c r="A51" s="190">
        <v>5</v>
      </c>
      <c r="B51" s="191" t="s">
        <v>220</v>
      </c>
      <c r="C51" s="191"/>
      <c r="D51" s="191"/>
      <c r="E51" s="192">
        <f>F51+G51</f>
        <v>5000</v>
      </c>
      <c r="F51" s="192"/>
      <c r="G51" s="192">
        <v>5000</v>
      </c>
      <c r="H51" s="192"/>
    </row>
    <row r="52" spans="1:8" s="189" customFormat="1" ht="15.75" customHeight="1">
      <c r="A52" s="195" t="s">
        <v>221</v>
      </c>
      <c r="B52" s="196" t="s">
        <v>222</v>
      </c>
      <c r="C52" s="196"/>
      <c r="D52" s="196">
        <f>SUM(D53:D55)</f>
        <v>956</v>
      </c>
      <c r="E52" s="197">
        <f>SUM(E53:E59)</f>
        <v>57457</v>
      </c>
      <c r="F52" s="197">
        <f>SUM(F53:F59)</f>
        <v>32738</v>
      </c>
      <c r="G52" s="197">
        <f>SUM(G53:G59)</f>
        <v>24719</v>
      </c>
      <c r="H52" s="197">
        <f>SUM(H53:H59)</f>
        <v>615.5</v>
      </c>
    </row>
    <row r="53" spans="1:8" s="193" customFormat="1" ht="15.75" customHeight="1">
      <c r="A53" s="190">
        <v>1</v>
      </c>
      <c r="B53" s="191" t="s">
        <v>223</v>
      </c>
      <c r="C53" s="191"/>
      <c r="D53" s="191">
        <f>15+16+58+33+37+51+26+26+16+20</f>
        <v>298</v>
      </c>
      <c r="E53" s="192">
        <f aca="true" t="shared" si="2" ref="E53:E59">F53+G53</f>
        <v>14097</v>
      </c>
      <c r="F53" s="192">
        <f>664+607.5+2485+1426.5+1606.5+2237.5+1137+1086+648+810</f>
        <v>12708</v>
      </c>
      <c r="G53" s="192">
        <f>20+460+270+30+123+125+131+96+104+30</f>
        <v>1389</v>
      </c>
      <c r="H53" s="192">
        <v>615.5</v>
      </c>
    </row>
    <row r="54" spans="1:8" s="193" customFormat="1" ht="15.75" customHeight="1">
      <c r="A54" s="190">
        <v>2</v>
      </c>
      <c r="B54" s="191" t="s">
        <v>224</v>
      </c>
      <c r="C54" s="191"/>
      <c r="D54" s="191">
        <v>39</v>
      </c>
      <c r="E54" s="192">
        <f t="shared" si="2"/>
        <v>4590</v>
      </c>
      <c r="F54" s="192">
        <v>2080</v>
      </c>
      <c r="G54" s="192">
        <v>2510</v>
      </c>
      <c r="H54" s="192"/>
    </row>
    <row r="55" spans="1:8" s="193" customFormat="1" ht="15.75" customHeight="1">
      <c r="A55" s="190">
        <v>3</v>
      </c>
      <c r="B55" s="191" t="s">
        <v>225</v>
      </c>
      <c r="C55" s="191"/>
      <c r="D55" s="191">
        <v>619</v>
      </c>
      <c r="E55" s="192">
        <f t="shared" si="2"/>
        <v>23450</v>
      </c>
      <c r="F55" s="192">
        <f>15750+1400+800</f>
        <v>17950</v>
      </c>
      <c r="G55" s="192">
        <v>5500</v>
      </c>
      <c r="H55" s="192"/>
    </row>
    <row r="56" spans="1:8" s="194" customFormat="1" ht="15.75" customHeight="1">
      <c r="A56" s="190">
        <v>4</v>
      </c>
      <c r="B56" s="200" t="s">
        <v>226</v>
      </c>
      <c r="C56" s="200"/>
      <c r="D56" s="200"/>
      <c r="E56" s="192">
        <f t="shared" si="2"/>
        <v>10200</v>
      </c>
      <c r="F56" s="192"/>
      <c r="G56" s="192">
        <f>200+10000</f>
        <v>10200</v>
      </c>
      <c r="H56" s="192"/>
    </row>
    <row r="57" spans="1:8" s="194" customFormat="1" ht="15.75" customHeight="1">
      <c r="A57" s="190">
        <v>5</v>
      </c>
      <c r="B57" s="200" t="s">
        <v>227</v>
      </c>
      <c r="C57" s="200"/>
      <c r="D57" s="200"/>
      <c r="E57" s="192">
        <f t="shared" si="2"/>
        <v>3050</v>
      </c>
      <c r="F57" s="192"/>
      <c r="G57" s="192">
        <f>50+3000</f>
        <v>3050</v>
      </c>
      <c r="H57" s="192"/>
    </row>
    <row r="58" spans="1:8" s="193" customFormat="1" ht="15.75" customHeight="1">
      <c r="A58" s="190">
        <v>6</v>
      </c>
      <c r="B58" s="200" t="s">
        <v>228</v>
      </c>
      <c r="C58" s="200"/>
      <c r="D58" s="200"/>
      <c r="E58" s="192">
        <f t="shared" si="2"/>
        <v>270</v>
      </c>
      <c r="F58" s="192"/>
      <c r="G58" s="192">
        <v>270</v>
      </c>
      <c r="H58" s="192"/>
    </row>
    <row r="59" spans="1:8" s="193" customFormat="1" ht="15.75" customHeight="1">
      <c r="A59" s="190">
        <v>7</v>
      </c>
      <c r="B59" s="191" t="s">
        <v>229</v>
      </c>
      <c r="C59" s="191"/>
      <c r="D59" s="191"/>
      <c r="E59" s="192">
        <f t="shared" si="2"/>
        <v>1800</v>
      </c>
      <c r="F59" s="192"/>
      <c r="G59" s="192">
        <v>1800</v>
      </c>
      <c r="H59" s="192"/>
    </row>
    <row r="60" spans="1:8" s="189" customFormat="1" ht="15.75" customHeight="1">
      <c r="A60" s="195" t="s">
        <v>230</v>
      </c>
      <c r="B60" s="196" t="s">
        <v>231</v>
      </c>
      <c r="C60" s="196"/>
      <c r="D60" s="196">
        <f>D63</f>
        <v>12</v>
      </c>
      <c r="E60" s="197">
        <f>SUM(E61:E64)</f>
        <v>19301</v>
      </c>
      <c r="F60" s="197">
        <f>SUM(F61:F64)</f>
        <v>486</v>
      </c>
      <c r="G60" s="197">
        <f>SUM(G61:G64)</f>
        <v>18815</v>
      </c>
      <c r="H60" s="197">
        <f>SUM(H61:H64)</f>
        <v>27</v>
      </c>
    </row>
    <row r="61" spans="1:8" s="193" customFormat="1" ht="15.75" customHeight="1">
      <c r="A61" s="190">
        <v>1</v>
      </c>
      <c r="B61" s="200" t="s">
        <v>232</v>
      </c>
      <c r="C61" s="200"/>
      <c r="D61" s="200"/>
      <c r="E61" s="192">
        <f>F61+G61</f>
        <v>9140</v>
      </c>
      <c r="F61" s="192"/>
      <c r="G61" s="192">
        <v>9140</v>
      </c>
      <c r="H61" s="192"/>
    </row>
    <row r="62" spans="1:8" s="193" customFormat="1" ht="15.75" customHeight="1">
      <c r="A62" s="190">
        <v>2</v>
      </c>
      <c r="B62" s="200" t="s">
        <v>233</v>
      </c>
      <c r="C62" s="200"/>
      <c r="D62" s="200"/>
      <c r="E62" s="192">
        <f>F62+G62</f>
        <v>1500</v>
      </c>
      <c r="F62" s="192"/>
      <c r="G62" s="192">
        <v>1500</v>
      </c>
      <c r="H62" s="192"/>
    </row>
    <row r="63" spans="1:8" s="193" customFormat="1" ht="15.75" customHeight="1">
      <c r="A63" s="190">
        <v>3</v>
      </c>
      <c r="B63" s="200" t="s">
        <v>234</v>
      </c>
      <c r="C63" s="200"/>
      <c r="D63" s="200">
        <v>12</v>
      </c>
      <c r="E63" s="192">
        <f>F63+G63</f>
        <v>661</v>
      </c>
      <c r="F63" s="192">
        <v>486</v>
      </c>
      <c r="G63" s="192">
        <v>175</v>
      </c>
      <c r="H63" s="192">
        <v>27</v>
      </c>
    </row>
    <row r="64" spans="1:8" s="193" customFormat="1" ht="15.75" customHeight="1">
      <c r="A64" s="190">
        <v>4</v>
      </c>
      <c r="B64" s="200" t="s">
        <v>235</v>
      </c>
      <c r="C64" s="200"/>
      <c r="D64" s="200"/>
      <c r="E64" s="192">
        <f>G64</f>
        <v>8000</v>
      </c>
      <c r="F64" s="192"/>
      <c r="G64" s="192">
        <v>8000</v>
      </c>
      <c r="H64" s="192"/>
    </row>
    <row r="65" spans="1:8" s="189" customFormat="1" ht="15.75" customHeight="1">
      <c r="A65" s="195" t="s">
        <v>236</v>
      </c>
      <c r="B65" s="196" t="s">
        <v>237</v>
      </c>
      <c r="C65" s="196"/>
      <c r="D65" s="203">
        <f>SUM(D66:D73)</f>
        <v>109</v>
      </c>
      <c r="E65" s="197">
        <f>SUM(E66:E73)</f>
        <v>17190.5</v>
      </c>
      <c r="F65" s="197">
        <f>SUM(F66:F73)</f>
        <v>4857.5</v>
      </c>
      <c r="G65" s="197">
        <f>SUM(G66:G73)</f>
        <v>12333</v>
      </c>
      <c r="H65" s="197">
        <f>SUM(H67:H73)</f>
        <v>205.71</v>
      </c>
    </row>
    <row r="66" spans="1:8" s="189" customFormat="1" ht="15.75" customHeight="1">
      <c r="A66" s="190">
        <v>1</v>
      </c>
      <c r="B66" s="191" t="s">
        <v>238</v>
      </c>
      <c r="C66" s="191"/>
      <c r="D66" s="191"/>
      <c r="E66" s="192">
        <f>G66</f>
        <v>4667</v>
      </c>
      <c r="F66" s="192"/>
      <c r="G66" s="192">
        <v>4667</v>
      </c>
      <c r="H66" s="197"/>
    </row>
    <row r="67" spans="1:8" s="193" customFormat="1" ht="15.75" customHeight="1">
      <c r="A67" s="190">
        <v>2</v>
      </c>
      <c r="B67" s="191" t="s">
        <v>239</v>
      </c>
      <c r="C67" s="191"/>
      <c r="D67" s="191">
        <v>17</v>
      </c>
      <c r="E67" s="192">
        <f aca="true" t="shared" si="3" ref="E67:E72">F67+G67</f>
        <v>983.5</v>
      </c>
      <c r="F67" s="192">
        <v>688.5</v>
      </c>
      <c r="G67" s="192">
        <v>295</v>
      </c>
      <c r="H67" s="192">
        <v>31.1</v>
      </c>
    </row>
    <row r="68" spans="1:8" s="193" customFormat="1" ht="15.75" customHeight="1">
      <c r="A68" s="190">
        <v>3</v>
      </c>
      <c r="B68" s="191" t="s">
        <v>240</v>
      </c>
      <c r="C68" s="191"/>
      <c r="D68" s="191">
        <v>25</v>
      </c>
      <c r="E68" s="192">
        <f t="shared" si="3"/>
        <v>2202.5</v>
      </c>
      <c r="F68" s="192">
        <v>1012.5</v>
      </c>
      <c r="G68" s="192">
        <v>1190</v>
      </c>
      <c r="H68" s="192">
        <v>53.2</v>
      </c>
    </row>
    <row r="69" spans="1:8" s="193" customFormat="1" ht="15.75" customHeight="1">
      <c r="A69" s="190">
        <v>4</v>
      </c>
      <c r="B69" s="191" t="s">
        <v>241</v>
      </c>
      <c r="C69" s="191"/>
      <c r="D69" s="191">
        <v>18</v>
      </c>
      <c r="E69" s="192">
        <f t="shared" si="3"/>
        <v>1029</v>
      </c>
      <c r="F69" s="192">
        <v>729</v>
      </c>
      <c r="G69" s="192">
        <v>300</v>
      </c>
      <c r="H69" s="192">
        <v>30.5</v>
      </c>
    </row>
    <row r="70" spans="1:8" s="193" customFormat="1" ht="15.75" customHeight="1">
      <c r="A70" s="190">
        <v>5</v>
      </c>
      <c r="B70" s="191" t="s">
        <v>242</v>
      </c>
      <c r="C70" s="191"/>
      <c r="D70" s="191">
        <v>16</v>
      </c>
      <c r="E70" s="192">
        <f t="shared" si="3"/>
        <v>678</v>
      </c>
      <c r="F70" s="192">
        <v>648</v>
      </c>
      <c r="G70" s="192">
        <v>30</v>
      </c>
      <c r="H70" s="192">
        <v>28</v>
      </c>
    </row>
    <row r="71" spans="1:8" s="193" customFormat="1" ht="15.75" customHeight="1">
      <c r="A71" s="190">
        <v>6</v>
      </c>
      <c r="B71" s="191" t="s">
        <v>243</v>
      </c>
      <c r="C71" s="191"/>
      <c r="D71" s="191">
        <v>9</v>
      </c>
      <c r="E71" s="192">
        <f t="shared" si="3"/>
        <v>1337.5</v>
      </c>
      <c r="F71" s="192">
        <v>807.5</v>
      </c>
      <c r="G71" s="192">
        <v>530</v>
      </c>
      <c r="H71" s="192">
        <v>21.01</v>
      </c>
    </row>
    <row r="72" spans="1:8" s="193" customFormat="1" ht="15.75" customHeight="1">
      <c r="A72" s="190">
        <v>7</v>
      </c>
      <c r="B72" s="191" t="s">
        <v>244</v>
      </c>
      <c r="C72" s="191"/>
      <c r="D72" s="191">
        <v>24</v>
      </c>
      <c r="E72" s="192">
        <f t="shared" si="3"/>
        <v>6143</v>
      </c>
      <c r="F72" s="192">
        <v>972</v>
      </c>
      <c r="G72" s="192">
        <v>5171</v>
      </c>
      <c r="H72" s="192">
        <v>41.9</v>
      </c>
    </row>
    <row r="73" spans="1:8" s="193" customFormat="1" ht="15.75" customHeight="1">
      <c r="A73" s="190">
        <v>8</v>
      </c>
      <c r="B73" s="191" t="s">
        <v>245</v>
      </c>
      <c r="C73" s="191"/>
      <c r="D73" s="191"/>
      <c r="E73" s="192">
        <f>F73+G73+H73</f>
        <v>150</v>
      </c>
      <c r="F73" s="192"/>
      <c r="G73" s="192">
        <v>150</v>
      </c>
      <c r="H73" s="192"/>
    </row>
    <row r="74" spans="1:8" s="189" customFormat="1" ht="15.75" customHeight="1">
      <c r="A74" s="195" t="s">
        <v>246</v>
      </c>
      <c r="B74" s="196" t="s">
        <v>247</v>
      </c>
      <c r="C74" s="196"/>
      <c r="D74" s="203">
        <f>D75</f>
        <v>123</v>
      </c>
      <c r="E74" s="197">
        <f>E75</f>
        <v>11682.5</v>
      </c>
      <c r="F74" s="197">
        <f>F75</f>
        <v>8710.5</v>
      </c>
      <c r="G74" s="197">
        <f>G75</f>
        <v>2972</v>
      </c>
      <c r="H74" s="197">
        <f>H75</f>
        <v>238.3</v>
      </c>
    </row>
    <row r="75" spans="1:8" s="204" customFormat="1" ht="15.75" customHeight="1">
      <c r="A75" s="190">
        <v>1</v>
      </c>
      <c r="B75" s="191" t="s">
        <v>248</v>
      </c>
      <c r="C75" s="191"/>
      <c r="D75" s="191">
        <v>123</v>
      </c>
      <c r="E75" s="192">
        <f>F75+G75</f>
        <v>11682.5</v>
      </c>
      <c r="F75" s="192">
        <f>11682.5-G75</f>
        <v>8710.5</v>
      </c>
      <c r="G75" s="192">
        <f>1600+372+1000</f>
        <v>2972</v>
      </c>
      <c r="H75" s="192">
        <v>238.3</v>
      </c>
    </row>
    <row r="76" spans="1:8" s="189" customFormat="1" ht="15.75" customHeight="1">
      <c r="A76" s="195" t="s">
        <v>249</v>
      </c>
      <c r="B76" s="196" t="s">
        <v>250</v>
      </c>
      <c r="C76" s="196"/>
      <c r="D76" s="203">
        <f>SUM(D77:D84)</f>
        <v>50</v>
      </c>
      <c r="E76" s="197">
        <f>SUM(E77:E85)</f>
        <v>12637</v>
      </c>
      <c r="F76" s="197">
        <f>SUM(F77:F85)</f>
        <v>2727</v>
      </c>
      <c r="G76" s="197">
        <f>SUM(G77:G85)</f>
        <v>9910</v>
      </c>
      <c r="H76" s="197">
        <f>SUM(H77:H85)</f>
        <v>99</v>
      </c>
    </row>
    <row r="77" spans="1:8" s="193" customFormat="1" ht="15.75" customHeight="1">
      <c r="A77" s="190">
        <v>1</v>
      </c>
      <c r="B77" s="191" t="s">
        <v>251</v>
      </c>
      <c r="C77" s="191"/>
      <c r="D77" s="191">
        <v>38</v>
      </c>
      <c r="E77" s="192">
        <f aca="true" t="shared" si="4" ref="E77:E85">F77+G77</f>
        <v>2091</v>
      </c>
      <c r="F77" s="192">
        <v>2091</v>
      </c>
      <c r="G77" s="192"/>
      <c r="H77" s="192">
        <v>79</v>
      </c>
    </row>
    <row r="78" spans="1:8" s="193" customFormat="1" ht="15.75" customHeight="1">
      <c r="A78" s="190">
        <v>2</v>
      </c>
      <c r="B78" s="191" t="s">
        <v>252</v>
      </c>
      <c r="C78" s="191"/>
      <c r="D78" s="191"/>
      <c r="E78" s="192">
        <f t="shared" si="4"/>
        <v>150</v>
      </c>
      <c r="F78" s="192"/>
      <c r="G78" s="192">
        <v>150</v>
      </c>
      <c r="H78" s="192"/>
    </row>
    <row r="79" spans="1:8" s="193" customFormat="1" ht="15.75" customHeight="1">
      <c r="A79" s="190">
        <v>3</v>
      </c>
      <c r="B79" s="191" t="s">
        <v>253</v>
      </c>
      <c r="C79" s="191"/>
      <c r="D79" s="191">
        <v>12</v>
      </c>
      <c r="E79" s="192">
        <f t="shared" si="4"/>
        <v>906</v>
      </c>
      <c r="F79" s="192">
        <v>636</v>
      </c>
      <c r="G79" s="192">
        <v>270</v>
      </c>
      <c r="H79" s="192">
        <v>20</v>
      </c>
    </row>
    <row r="80" spans="1:8" s="193" customFormat="1" ht="15.75" customHeight="1">
      <c r="A80" s="190">
        <v>4</v>
      </c>
      <c r="B80" s="191" t="s">
        <v>254</v>
      </c>
      <c r="C80" s="191"/>
      <c r="D80" s="191"/>
      <c r="E80" s="192">
        <f t="shared" si="4"/>
        <v>3200</v>
      </c>
      <c r="F80" s="192"/>
      <c r="G80" s="192">
        <v>3200</v>
      </c>
      <c r="H80" s="192"/>
    </row>
    <row r="81" spans="1:8" s="193" customFormat="1" ht="15.75" customHeight="1">
      <c r="A81" s="190">
        <v>5</v>
      </c>
      <c r="B81" s="191" t="s">
        <v>255</v>
      </c>
      <c r="C81" s="191"/>
      <c r="D81" s="191"/>
      <c r="E81" s="192">
        <f t="shared" si="4"/>
        <v>400</v>
      </c>
      <c r="F81" s="192"/>
      <c r="G81" s="192">
        <v>400</v>
      </c>
      <c r="H81" s="192"/>
    </row>
    <row r="82" spans="1:8" s="193" customFormat="1" ht="15.75" customHeight="1">
      <c r="A82" s="190">
        <v>6</v>
      </c>
      <c r="B82" s="191" t="s">
        <v>256</v>
      </c>
      <c r="C82" s="191"/>
      <c r="D82" s="191"/>
      <c r="E82" s="192">
        <f t="shared" si="4"/>
        <v>240</v>
      </c>
      <c r="F82" s="192"/>
      <c r="G82" s="192">
        <v>240</v>
      </c>
      <c r="H82" s="192"/>
    </row>
    <row r="83" spans="1:8" s="193" customFormat="1" ht="15.75" customHeight="1">
      <c r="A83" s="190">
        <v>7</v>
      </c>
      <c r="B83" s="191" t="s">
        <v>257</v>
      </c>
      <c r="C83" s="191"/>
      <c r="D83" s="191"/>
      <c r="E83" s="192">
        <f t="shared" si="4"/>
        <v>650</v>
      </c>
      <c r="F83" s="192"/>
      <c r="G83" s="192">
        <v>650</v>
      </c>
      <c r="H83" s="192"/>
    </row>
    <row r="84" spans="1:8" s="194" customFormat="1" ht="15.75" customHeight="1">
      <c r="A84" s="190">
        <v>8</v>
      </c>
      <c r="B84" s="191" t="s">
        <v>258</v>
      </c>
      <c r="C84" s="191"/>
      <c r="D84" s="191"/>
      <c r="E84" s="192">
        <f t="shared" si="4"/>
        <v>2000</v>
      </c>
      <c r="F84" s="192">
        <v>0</v>
      </c>
      <c r="G84" s="192">
        <v>2000</v>
      </c>
      <c r="H84" s="192"/>
    </row>
    <row r="85" spans="1:8" s="194" customFormat="1" ht="15.75" customHeight="1">
      <c r="A85" s="190">
        <v>9</v>
      </c>
      <c r="B85" s="191" t="s">
        <v>259</v>
      </c>
      <c r="C85" s="191"/>
      <c r="D85" s="191"/>
      <c r="E85" s="192">
        <f t="shared" si="4"/>
        <v>3000</v>
      </c>
      <c r="F85" s="192">
        <v>0</v>
      </c>
      <c r="G85" s="192">
        <v>3000</v>
      </c>
      <c r="H85" s="192"/>
    </row>
    <row r="86" spans="1:8" s="189" customFormat="1" ht="15.75" customHeight="1">
      <c r="A86" s="195" t="s">
        <v>260</v>
      </c>
      <c r="B86" s="196" t="s">
        <v>261</v>
      </c>
      <c r="C86" s="196"/>
      <c r="D86" s="197">
        <f>D87+D114+D115+D124</f>
        <v>1491</v>
      </c>
      <c r="E86" s="197">
        <f>E87+E114+E115+E124</f>
        <v>107270.1</v>
      </c>
      <c r="F86" s="197">
        <f>F87+F114+F115+F124</f>
        <v>66492.6</v>
      </c>
      <c r="G86" s="197">
        <f>G87+G114+G115+G124</f>
        <v>40777.5</v>
      </c>
      <c r="H86" s="197">
        <f>H87+H114+H115+H124</f>
        <v>4048.5000000000005</v>
      </c>
    </row>
    <row r="87" spans="1:8" s="189" customFormat="1" ht="15.75" customHeight="1">
      <c r="A87" s="195" t="s">
        <v>262</v>
      </c>
      <c r="B87" s="196" t="s">
        <v>263</v>
      </c>
      <c r="C87" s="196"/>
      <c r="D87" s="203">
        <f>SUM(D88:D113)</f>
        <v>1045</v>
      </c>
      <c r="E87" s="197">
        <f>SUM(E88:E113)</f>
        <v>64507.1</v>
      </c>
      <c r="F87" s="197">
        <f>SUM(F88:F113)</f>
        <v>44542.6</v>
      </c>
      <c r="G87" s="197">
        <f>SUM(G88:G113)</f>
        <v>19964.5</v>
      </c>
      <c r="H87" s="197">
        <f>SUM(H89:H113)</f>
        <v>1969.8</v>
      </c>
    </row>
    <row r="88" spans="1:8" s="193" customFormat="1" ht="15.75" customHeight="1">
      <c r="A88" s="190">
        <v>1</v>
      </c>
      <c r="B88" s="200" t="s">
        <v>264</v>
      </c>
      <c r="C88" s="200"/>
      <c r="D88" s="200"/>
      <c r="E88" s="192">
        <f aca="true" t="shared" si="5" ref="E88:E114">F88+G88</f>
        <v>200</v>
      </c>
      <c r="F88" s="192"/>
      <c r="G88" s="192">
        <v>200</v>
      </c>
      <c r="H88" s="192"/>
    </row>
    <row r="89" spans="1:8" s="193" customFormat="1" ht="15.75" customHeight="1">
      <c r="A89" s="190">
        <v>2</v>
      </c>
      <c r="B89" s="200" t="s">
        <v>265</v>
      </c>
      <c r="C89" s="200"/>
      <c r="D89" s="200">
        <v>22</v>
      </c>
      <c r="E89" s="192">
        <f t="shared" si="5"/>
        <v>1435</v>
      </c>
      <c r="F89" s="192">
        <v>911</v>
      </c>
      <c r="G89" s="192">
        <v>524</v>
      </c>
      <c r="H89" s="192">
        <v>75</v>
      </c>
    </row>
    <row r="90" spans="1:8" s="193" customFormat="1" ht="15.75" customHeight="1">
      <c r="A90" s="190">
        <v>3</v>
      </c>
      <c r="B90" s="200" t="s">
        <v>266</v>
      </c>
      <c r="C90" s="200"/>
      <c r="D90" s="200">
        <v>24</v>
      </c>
      <c r="E90" s="192">
        <f t="shared" si="5"/>
        <v>1287</v>
      </c>
      <c r="F90" s="192">
        <v>992</v>
      </c>
      <c r="G90" s="192">
        <v>295</v>
      </c>
      <c r="H90" s="192">
        <v>43.7</v>
      </c>
    </row>
    <row r="91" spans="1:8" s="193" customFormat="1" ht="15.75" customHeight="1">
      <c r="A91" s="190">
        <v>4</v>
      </c>
      <c r="B91" s="200" t="s">
        <v>267</v>
      </c>
      <c r="C91" s="200"/>
      <c r="D91" s="200">
        <v>70</v>
      </c>
      <c r="E91" s="192">
        <f t="shared" si="5"/>
        <v>3744.1</v>
      </c>
      <c r="F91" s="192">
        <v>3159.1</v>
      </c>
      <c r="G91" s="192">
        <v>585</v>
      </c>
      <c r="H91" s="192">
        <v>122</v>
      </c>
    </row>
    <row r="92" spans="1:8" s="193" customFormat="1" ht="15.75" customHeight="1">
      <c r="A92" s="190">
        <v>5</v>
      </c>
      <c r="B92" s="191" t="s">
        <v>268</v>
      </c>
      <c r="C92" s="191"/>
      <c r="D92" s="191">
        <v>16</v>
      </c>
      <c r="E92" s="192">
        <f t="shared" si="5"/>
        <v>809</v>
      </c>
      <c r="F92" s="192">
        <v>664</v>
      </c>
      <c r="G92" s="192">
        <v>145</v>
      </c>
      <c r="H92" s="192">
        <v>43.7</v>
      </c>
    </row>
    <row r="93" spans="1:8" s="193" customFormat="1" ht="15.75" customHeight="1">
      <c r="A93" s="190">
        <v>6</v>
      </c>
      <c r="B93" s="200" t="s">
        <v>269</v>
      </c>
      <c r="C93" s="200"/>
      <c r="D93" s="200">
        <v>29</v>
      </c>
      <c r="E93" s="192">
        <f t="shared" si="5"/>
        <v>1484.5</v>
      </c>
      <c r="F93" s="192">
        <v>1194.5</v>
      </c>
      <c r="G93" s="192">
        <v>290</v>
      </c>
      <c r="H93" s="192">
        <v>57.8</v>
      </c>
    </row>
    <row r="94" spans="1:8" s="193" customFormat="1" ht="15.75" customHeight="1">
      <c r="A94" s="190">
        <v>7</v>
      </c>
      <c r="B94" s="200" t="s">
        <v>270</v>
      </c>
      <c r="C94" s="200"/>
      <c r="D94" s="200">
        <v>43</v>
      </c>
      <c r="E94" s="192">
        <f t="shared" si="5"/>
        <v>2201.5</v>
      </c>
      <c r="F94" s="192">
        <v>1761.5</v>
      </c>
      <c r="G94" s="192">
        <v>440</v>
      </c>
      <c r="H94" s="192">
        <v>64.3</v>
      </c>
    </row>
    <row r="95" spans="1:8" s="193" customFormat="1" ht="15.75" customHeight="1">
      <c r="A95" s="190">
        <v>8</v>
      </c>
      <c r="B95" s="200" t="s">
        <v>211</v>
      </c>
      <c r="C95" s="200"/>
      <c r="D95" s="200">
        <v>61</v>
      </c>
      <c r="E95" s="192">
        <f t="shared" si="5"/>
        <v>2600.5</v>
      </c>
      <c r="F95" s="192">
        <v>2490.5</v>
      </c>
      <c r="G95" s="192">
        <v>110</v>
      </c>
      <c r="H95" s="192">
        <v>69.2</v>
      </c>
    </row>
    <row r="96" spans="1:8" s="193" customFormat="1" ht="15.75" customHeight="1">
      <c r="A96" s="190">
        <v>9</v>
      </c>
      <c r="B96" s="200" t="s">
        <v>271</v>
      </c>
      <c r="C96" s="200"/>
      <c r="D96" s="200">
        <v>28</v>
      </c>
      <c r="E96" s="192">
        <f t="shared" si="5"/>
        <v>1354</v>
      </c>
      <c r="F96" s="192">
        <v>1154</v>
      </c>
      <c r="G96" s="192">
        <v>200</v>
      </c>
      <c r="H96" s="192">
        <v>55.4</v>
      </c>
    </row>
    <row r="97" spans="1:8" s="193" customFormat="1" ht="15.75" customHeight="1">
      <c r="A97" s="190">
        <v>10</v>
      </c>
      <c r="B97" s="200" t="s">
        <v>272</v>
      </c>
      <c r="C97" s="200"/>
      <c r="D97" s="200">
        <v>39</v>
      </c>
      <c r="E97" s="192">
        <f t="shared" si="5"/>
        <v>1994.5</v>
      </c>
      <c r="F97" s="192">
        <v>1599.5</v>
      </c>
      <c r="G97" s="192">
        <v>395</v>
      </c>
      <c r="H97" s="192">
        <v>61.3</v>
      </c>
    </row>
    <row r="98" spans="1:8" s="193" customFormat="1" ht="15.75" customHeight="1">
      <c r="A98" s="190">
        <v>11</v>
      </c>
      <c r="B98" s="200" t="s">
        <v>232</v>
      </c>
      <c r="C98" s="200"/>
      <c r="D98" s="200">
        <v>24</v>
      </c>
      <c r="E98" s="192">
        <f t="shared" si="5"/>
        <v>1332</v>
      </c>
      <c r="F98" s="192">
        <v>992</v>
      </c>
      <c r="G98" s="192">
        <v>340</v>
      </c>
      <c r="H98" s="192">
        <v>23</v>
      </c>
    </row>
    <row r="99" spans="1:8" s="193" customFormat="1" ht="15.75" customHeight="1">
      <c r="A99" s="190">
        <v>12</v>
      </c>
      <c r="B99" s="200" t="s">
        <v>273</v>
      </c>
      <c r="C99" s="200"/>
      <c r="D99" s="200">
        <v>50</v>
      </c>
      <c r="E99" s="192">
        <f t="shared" si="5"/>
        <v>2125</v>
      </c>
      <c r="F99" s="192">
        <v>2045</v>
      </c>
      <c r="G99" s="192">
        <v>80</v>
      </c>
      <c r="H99" s="192">
        <v>90.1</v>
      </c>
    </row>
    <row r="100" spans="1:8" s="193" customFormat="1" ht="15.75" customHeight="1">
      <c r="A100" s="190">
        <v>13</v>
      </c>
      <c r="B100" s="200" t="s">
        <v>274</v>
      </c>
      <c r="C100" s="200"/>
      <c r="D100" s="200">
        <v>49</v>
      </c>
      <c r="E100" s="192">
        <f t="shared" si="5"/>
        <v>6257.5</v>
      </c>
      <c r="F100" s="192">
        <v>2571.5</v>
      </c>
      <c r="G100" s="192">
        <v>3686</v>
      </c>
      <c r="H100" s="192">
        <v>137.7</v>
      </c>
    </row>
    <row r="101" spans="1:8" s="193" customFormat="1" ht="15.75" customHeight="1">
      <c r="A101" s="190">
        <v>14</v>
      </c>
      <c r="B101" s="200" t="s">
        <v>275</v>
      </c>
      <c r="C101" s="200"/>
      <c r="D101" s="200">
        <v>47</v>
      </c>
      <c r="E101" s="192">
        <f t="shared" si="5"/>
        <v>2083.5</v>
      </c>
      <c r="F101" s="192">
        <v>1923.5</v>
      </c>
      <c r="G101" s="192">
        <v>160</v>
      </c>
      <c r="H101" s="192">
        <v>95.2</v>
      </c>
    </row>
    <row r="102" spans="1:8" s="193" customFormat="1" ht="15.75" customHeight="1">
      <c r="A102" s="190">
        <v>15</v>
      </c>
      <c r="B102" s="200" t="s">
        <v>233</v>
      </c>
      <c r="C102" s="200"/>
      <c r="D102" s="200">
        <v>57</v>
      </c>
      <c r="E102" s="192">
        <f t="shared" si="5"/>
        <v>2618.5</v>
      </c>
      <c r="F102" s="192">
        <v>2328.5</v>
      </c>
      <c r="G102" s="192">
        <v>290</v>
      </c>
      <c r="H102" s="192">
        <v>102.9</v>
      </c>
    </row>
    <row r="103" spans="1:8" s="193" customFormat="1" ht="15.75" customHeight="1">
      <c r="A103" s="190">
        <v>16</v>
      </c>
      <c r="B103" s="200" t="s">
        <v>205</v>
      </c>
      <c r="C103" s="200"/>
      <c r="D103" s="200">
        <v>45</v>
      </c>
      <c r="E103" s="192">
        <f t="shared" si="5"/>
        <v>1932.5</v>
      </c>
      <c r="F103" s="192">
        <v>1842.5</v>
      </c>
      <c r="G103" s="192">
        <v>90</v>
      </c>
      <c r="H103" s="192">
        <v>95.3</v>
      </c>
    </row>
    <row r="104" spans="1:8" s="193" customFormat="1" ht="15.75" customHeight="1">
      <c r="A104" s="190">
        <v>17</v>
      </c>
      <c r="B104" s="200" t="s">
        <v>276</v>
      </c>
      <c r="C104" s="200"/>
      <c r="D104" s="200">
        <v>45</v>
      </c>
      <c r="E104" s="192">
        <f t="shared" si="5"/>
        <v>2017.5</v>
      </c>
      <c r="F104" s="192">
        <v>1842.5</v>
      </c>
      <c r="G104" s="192">
        <v>175</v>
      </c>
      <c r="H104" s="192">
        <v>87.9</v>
      </c>
    </row>
    <row r="105" spans="1:8" s="193" customFormat="1" ht="15.75" customHeight="1">
      <c r="A105" s="190">
        <v>18</v>
      </c>
      <c r="B105" s="200" t="s">
        <v>277</v>
      </c>
      <c r="C105" s="200"/>
      <c r="D105" s="200">
        <v>35</v>
      </c>
      <c r="E105" s="192">
        <f t="shared" si="5"/>
        <v>1497.5</v>
      </c>
      <c r="F105" s="192">
        <v>1437.5</v>
      </c>
      <c r="G105" s="192">
        <v>60</v>
      </c>
      <c r="H105" s="192">
        <v>77.1</v>
      </c>
    </row>
    <row r="106" spans="1:8" s="193" customFormat="1" ht="15.75" customHeight="1">
      <c r="A106" s="190">
        <v>19</v>
      </c>
      <c r="B106" s="200" t="s">
        <v>278</v>
      </c>
      <c r="C106" s="200"/>
      <c r="D106" s="200">
        <v>115</v>
      </c>
      <c r="E106" s="192">
        <f t="shared" si="5"/>
        <v>5752.5</v>
      </c>
      <c r="F106" s="192">
        <f>1499+3219.5</f>
        <v>4718.5</v>
      </c>
      <c r="G106" s="192">
        <f>590+444</f>
        <v>1034</v>
      </c>
      <c r="H106" s="192">
        <v>232.9</v>
      </c>
    </row>
    <row r="107" spans="1:8" s="193" customFormat="1" ht="15.75" customHeight="1">
      <c r="A107" s="190">
        <v>20</v>
      </c>
      <c r="B107" s="200" t="s">
        <v>279</v>
      </c>
      <c r="C107" s="200"/>
      <c r="D107" s="200">
        <v>36</v>
      </c>
      <c r="E107" s="192">
        <f t="shared" si="5"/>
        <v>2093</v>
      </c>
      <c r="F107" s="192">
        <v>1578</v>
      </c>
      <c r="G107" s="192">
        <v>515</v>
      </c>
      <c r="H107" s="192">
        <v>73</v>
      </c>
    </row>
    <row r="108" spans="1:8" s="193" customFormat="1" ht="15.75" customHeight="1">
      <c r="A108" s="190">
        <v>21</v>
      </c>
      <c r="B108" s="200" t="s">
        <v>280</v>
      </c>
      <c r="C108" s="200"/>
      <c r="D108" s="200">
        <v>51</v>
      </c>
      <c r="E108" s="192">
        <f t="shared" si="5"/>
        <v>2435.5</v>
      </c>
      <c r="F108" s="192">
        <v>2085.5</v>
      </c>
      <c r="G108" s="192">
        <v>350</v>
      </c>
      <c r="H108" s="192">
        <v>87.3</v>
      </c>
    </row>
    <row r="109" spans="1:8" s="193" customFormat="1" ht="15.75" customHeight="1">
      <c r="A109" s="190">
        <v>22</v>
      </c>
      <c r="B109" s="200" t="s">
        <v>281</v>
      </c>
      <c r="C109" s="200"/>
      <c r="D109" s="200">
        <v>16</v>
      </c>
      <c r="E109" s="192">
        <f t="shared" si="5"/>
        <v>929</v>
      </c>
      <c r="F109" s="192">
        <v>664</v>
      </c>
      <c r="G109" s="192">
        <v>265</v>
      </c>
      <c r="H109" s="192">
        <v>46.6</v>
      </c>
    </row>
    <row r="110" spans="1:8" s="193" customFormat="1" ht="15.75" customHeight="1">
      <c r="A110" s="190">
        <v>23</v>
      </c>
      <c r="B110" s="200" t="s">
        <v>282</v>
      </c>
      <c r="C110" s="200"/>
      <c r="D110" s="200">
        <v>33</v>
      </c>
      <c r="E110" s="192">
        <f t="shared" si="5"/>
        <v>5000</v>
      </c>
      <c r="F110" s="192">
        <v>2074.5</v>
      </c>
      <c r="G110" s="192">
        <v>2925.5</v>
      </c>
      <c r="H110" s="192">
        <v>49.3</v>
      </c>
    </row>
    <row r="111" spans="1:8" s="193" customFormat="1" ht="15.75" customHeight="1">
      <c r="A111" s="190">
        <v>24</v>
      </c>
      <c r="B111" s="200" t="s">
        <v>283</v>
      </c>
      <c r="C111" s="200"/>
      <c r="D111" s="200">
        <v>70</v>
      </c>
      <c r="E111" s="192">
        <f t="shared" si="5"/>
        <v>9000</v>
      </c>
      <c r="F111" s="192">
        <v>2855</v>
      </c>
      <c r="G111" s="192">
        <v>6145</v>
      </c>
      <c r="H111" s="192">
        <v>95</v>
      </c>
    </row>
    <row r="112" spans="1:8" s="193" customFormat="1" ht="15.75" customHeight="1">
      <c r="A112" s="190">
        <v>25</v>
      </c>
      <c r="B112" s="200" t="s">
        <v>284</v>
      </c>
      <c r="C112" s="200"/>
      <c r="D112" s="200">
        <v>18</v>
      </c>
      <c r="E112" s="192">
        <f>F112+G112</f>
        <v>962</v>
      </c>
      <c r="F112" s="192">
        <v>747</v>
      </c>
      <c r="G112" s="192">
        <v>215</v>
      </c>
      <c r="H112" s="192">
        <v>32.3</v>
      </c>
    </row>
    <row r="113" spans="1:8" s="193" customFormat="1" ht="15.75" customHeight="1">
      <c r="A113" s="190">
        <v>26</v>
      </c>
      <c r="B113" s="200" t="s">
        <v>285</v>
      </c>
      <c r="C113" s="200"/>
      <c r="D113" s="200">
        <v>22</v>
      </c>
      <c r="E113" s="192">
        <f>F113+G113</f>
        <v>1361</v>
      </c>
      <c r="F113" s="192">
        <v>911</v>
      </c>
      <c r="G113" s="192">
        <v>450</v>
      </c>
      <c r="H113" s="192">
        <v>51.8</v>
      </c>
    </row>
    <row r="114" spans="1:8" s="206" customFormat="1" ht="15.75" customHeight="1">
      <c r="A114" s="195" t="s">
        <v>286</v>
      </c>
      <c r="B114" s="205" t="s">
        <v>287</v>
      </c>
      <c r="C114" s="205"/>
      <c r="D114" s="205">
        <v>262</v>
      </c>
      <c r="E114" s="197">
        <f t="shared" si="5"/>
        <v>28173</v>
      </c>
      <c r="F114" s="197">
        <v>14333</v>
      </c>
      <c r="G114" s="197">
        <v>13840</v>
      </c>
      <c r="H114" s="197">
        <v>1800</v>
      </c>
    </row>
    <row r="115" spans="1:8" s="189" customFormat="1" ht="15.75" customHeight="1">
      <c r="A115" s="195" t="s">
        <v>288</v>
      </c>
      <c r="B115" s="205" t="s">
        <v>289</v>
      </c>
      <c r="C115" s="205"/>
      <c r="D115" s="203">
        <f>SUM(D116:D123)</f>
        <v>140</v>
      </c>
      <c r="E115" s="197">
        <f>SUM(E116:E123)</f>
        <v>10000</v>
      </c>
      <c r="F115" s="197">
        <f>SUM(F116:F123)</f>
        <v>5791</v>
      </c>
      <c r="G115" s="197">
        <f>SUM(G116:G123)</f>
        <v>4209</v>
      </c>
      <c r="H115" s="197">
        <f>SUM(H116:H123)</f>
        <v>221.89999999999998</v>
      </c>
    </row>
    <row r="116" spans="1:8" s="193" customFormat="1" ht="15.75" customHeight="1">
      <c r="A116" s="190">
        <v>1</v>
      </c>
      <c r="B116" s="200" t="s">
        <v>290</v>
      </c>
      <c r="C116" s="200"/>
      <c r="D116" s="200">
        <v>12</v>
      </c>
      <c r="E116" s="192">
        <f aca="true" t="shared" si="6" ref="E116:E123">F116+G116</f>
        <v>977</v>
      </c>
      <c r="F116" s="192">
        <v>498</v>
      </c>
      <c r="G116" s="192">
        <v>479</v>
      </c>
      <c r="H116" s="192">
        <v>12</v>
      </c>
    </row>
    <row r="117" spans="1:8" s="193" customFormat="1" ht="15.75" customHeight="1">
      <c r="A117" s="190">
        <v>2</v>
      </c>
      <c r="B117" s="200" t="s">
        <v>291</v>
      </c>
      <c r="C117" s="200"/>
      <c r="D117" s="200">
        <v>24</v>
      </c>
      <c r="E117" s="192">
        <f t="shared" si="6"/>
        <v>1297</v>
      </c>
      <c r="F117" s="192">
        <v>992</v>
      </c>
      <c r="G117" s="192">
        <v>305</v>
      </c>
      <c r="H117" s="192">
        <v>44</v>
      </c>
    </row>
    <row r="118" spans="1:8" s="193" customFormat="1" ht="15.75" customHeight="1">
      <c r="A118" s="190">
        <v>3</v>
      </c>
      <c r="B118" s="200" t="s">
        <v>292</v>
      </c>
      <c r="C118" s="200"/>
      <c r="D118" s="200">
        <v>4</v>
      </c>
      <c r="E118" s="192">
        <f t="shared" si="6"/>
        <v>166</v>
      </c>
      <c r="F118" s="192">
        <v>166</v>
      </c>
      <c r="G118" s="192"/>
      <c r="H118" s="192">
        <v>5</v>
      </c>
    </row>
    <row r="119" spans="1:8" s="193" customFormat="1" ht="15.75" customHeight="1">
      <c r="A119" s="190">
        <v>4</v>
      </c>
      <c r="B119" s="200" t="s">
        <v>293</v>
      </c>
      <c r="C119" s="200"/>
      <c r="D119" s="200">
        <v>22</v>
      </c>
      <c r="E119" s="192">
        <f t="shared" si="6"/>
        <v>1266</v>
      </c>
      <c r="F119" s="192">
        <v>911</v>
      </c>
      <c r="G119" s="192">
        <v>355</v>
      </c>
      <c r="H119" s="192">
        <v>29.6</v>
      </c>
    </row>
    <row r="120" spans="1:8" s="193" customFormat="1" ht="15.75" customHeight="1">
      <c r="A120" s="190">
        <v>5</v>
      </c>
      <c r="B120" s="200" t="s">
        <v>294</v>
      </c>
      <c r="C120" s="200"/>
      <c r="D120" s="200">
        <v>22</v>
      </c>
      <c r="E120" s="192">
        <f t="shared" si="6"/>
        <v>1872</v>
      </c>
      <c r="F120" s="192">
        <v>911</v>
      </c>
      <c r="G120" s="192">
        <v>961</v>
      </c>
      <c r="H120" s="192">
        <v>25.6</v>
      </c>
    </row>
    <row r="121" spans="1:8" s="193" customFormat="1" ht="15.75" customHeight="1">
      <c r="A121" s="190">
        <v>6</v>
      </c>
      <c r="B121" s="200" t="s">
        <v>295</v>
      </c>
      <c r="C121" s="200"/>
      <c r="D121" s="200">
        <v>7</v>
      </c>
      <c r="E121" s="192">
        <f>F121+G121</f>
        <v>325.5</v>
      </c>
      <c r="F121" s="192">
        <v>290.5</v>
      </c>
      <c r="G121" s="192">
        <v>35</v>
      </c>
      <c r="H121" s="192">
        <v>15.2</v>
      </c>
    </row>
    <row r="122" spans="1:8" s="193" customFormat="1" ht="15.75" customHeight="1">
      <c r="A122" s="190">
        <v>7</v>
      </c>
      <c r="B122" s="200" t="s">
        <v>296</v>
      </c>
      <c r="C122" s="200"/>
      <c r="D122" s="200">
        <v>31</v>
      </c>
      <c r="E122" s="192">
        <f t="shared" si="6"/>
        <v>2864.5</v>
      </c>
      <c r="F122" s="192">
        <v>1275.5</v>
      </c>
      <c r="G122" s="192">
        <v>1589</v>
      </c>
      <c r="H122" s="192">
        <v>50.5</v>
      </c>
    </row>
    <row r="123" spans="1:8" s="193" customFormat="1" ht="15.75" customHeight="1">
      <c r="A123" s="190">
        <v>8</v>
      </c>
      <c r="B123" s="200" t="s">
        <v>297</v>
      </c>
      <c r="C123" s="200"/>
      <c r="D123" s="200">
        <v>18</v>
      </c>
      <c r="E123" s="192">
        <f t="shared" si="6"/>
        <v>1232</v>
      </c>
      <c r="F123" s="192">
        <v>747</v>
      </c>
      <c r="G123" s="192">
        <v>485</v>
      </c>
      <c r="H123" s="192">
        <v>40</v>
      </c>
    </row>
    <row r="124" spans="1:8" s="189" customFormat="1" ht="15.75" customHeight="1">
      <c r="A124" s="195" t="s">
        <v>298</v>
      </c>
      <c r="B124" s="205" t="s">
        <v>299</v>
      </c>
      <c r="C124" s="205"/>
      <c r="D124" s="203">
        <f>SUM(D125:D138)</f>
        <v>44</v>
      </c>
      <c r="E124" s="197">
        <f>SUM(E125:E138)</f>
        <v>4590</v>
      </c>
      <c r="F124" s="197">
        <f>SUM(F125:F138)</f>
        <v>1826</v>
      </c>
      <c r="G124" s="197">
        <f>SUM(G125:G138)</f>
        <v>2764</v>
      </c>
      <c r="H124" s="197">
        <f>SUM(H125:H138)</f>
        <v>56.800000000000004</v>
      </c>
    </row>
    <row r="125" spans="1:8" s="193" customFormat="1" ht="15.75" customHeight="1">
      <c r="A125" s="190">
        <v>1</v>
      </c>
      <c r="B125" s="200" t="s">
        <v>300</v>
      </c>
      <c r="C125" s="200"/>
      <c r="D125" s="200">
        <v>15</v>
      </c>
      <c r="E125" s="192">
        <f aca="true" t="shared" si="7" ref="E125:E136">F125+G125</f>
        <v>1261.5</v>
      </c>
      <c r="F125" s="192">
        <v>622.5</v>
      </c>
      <c r="G125" s="192">
        <v>639</v>
      </c>
      <c r="H125" s="192">
        <v>27.6</v>
      </c>
    </row>
    <row r="126" spans="1:8" s="193" customFormat="1" ht="15.75" customHeight="1">
      <c r="A126" s="190">
        <v>2</v>
      </c>
      <c r="B126" s="200" t="s">
        <v>301</v>
      </c>
      <c r="C126" s="200"/>
      <c r="D126" s="200">
        <v>6</v>
      </c>
      <c r="E126" s="192">
        <f t="shared" si="7"/>
        <v>299</v>
      </c>
      <c r="F126" s="192">
        <v>249</v>
      </c>
      <c r="G126" s="192">
        <v>50</v>
      </c>
      <c r="H126" s="192"/>
    </row>
    <row r="127" spans="1:8" s="193" customFormat="1" ht="15.75" customHeight="1">
      <c r="A127" s="190">
        <v>3</v>
      </c>
      <c r="B127" s="200" t="s">
        <v>302</v>
      </c>
      <c r="C127" s="200"/>
      <c r="D127" s="200">
        <v>4</v>
      </c>
      <c r="E127" s="192">
        <f t="shared" si="7"/>
        <v>231</v>
      </c>
      <c r="F127" s="192">
        <v>166</v>
      </c>
      <c r="G127" s="192">
        <v>65</v>
      </c>
      <c r="H127" s="192">
        <v>4.3</v>
      </c>
    </row>
    <row r="128" spans="1:8" s="193" customFormat="1" ht="15.75" customHeight="1">
      <c r="A128" s="190">
        <v>4</v>
      </c>
      <c r="B128" s="200" t="s">
        <v>303</v>
      </c>
      <c r="C128" s="200"/>
      <c r="D128" s="200"/>
      <c r="E128" s="192">
        <f t="shared" si="7"/>
        <v>285</v>
      </c>
      <c r="F128" s="192"/>
      <c r="G128" s="192">
        <v>285</v>
      </c>
      <c r="H128" s="192"/>
    </row>
    <row r="129" spans="1:8" s="193" customFormat="1" ht="15.75" customHeight="1">
      <c r="A129" s="190">
        <v>5</v>
      </c>
      <c r="B129" s="200" t="s">
        <v>304</v>
      </c>
      <c r="C129" s="200"/>
      <c r="D129" s="200">
        <v>13</v>
      </c>
      <c r="E129" s="192">
        <f t="shared" si="7"/>
        <v>779.5</v>
      </c>
      <c r="F129" s="192">
        <v>539.5</v>
      </c>
      <c r="G129" s="192">
        <v>240</v>
      </c>
      <c r="H129" s="192">
        <v>19.3</v>
      </c>
    </row>
    <row r="130" spans="1:8" s="193" customFormat="1" ht="15.75" customHeight="1">
      <c r="A130" s="190">
        <v>6</v>
      </c>
      <c r="B130" s="200" t="s">
        <v>305</v>
      </c>
      <c r="C130" s="200"/>
      <c r="D130" s="200"/>
      <c r="E130" s="192">
        <f t="shared" si="7"/>
        <v>82</v>
      </c>
      <c r="F130" s="192"/>
      <c r="G130" s="192">
        <v>82</v>
      </c>
      <c r="H130" s="192"/>
    </row>
    <row r="131" spans="1:8" s="193" customFormat="1" ht="15.75" customHeight="1">
      <c r="A131" s="190">
        <v>7</v>
      </c>
      <c r="B131" s="200" t="s">
        <v>306</v>
      </c>
      <c r="C131" s="200"/>
      <c r="D131" s="200"/>
      <c r="E131" s="192">
        <f t="shared" si="7"/>
        <v>60</v>
      </c>
      <c r="F131" s="192"/>
      <c r="G131" s="192">
        <v>60</v>
      </c>
      <c r="H131" s="192"/>
    </row>
    <row r="132" spans="1:8" s="193" customFormat="1" ht="15.75" customHeight="1">
      <c r="A132" s="190">
        <v>8</v>
      </c>
      <c r="B132" s="200" t="s">
        <v>307</v>
      </c>
      <c r="C132" s="200"/>
      <c r="D132" s="200"/>
      <c r="E132" s="192">
        <f t="shared" si="7"/>
        <v>130</v>
      </c>
      <c r="F132" s="192"/>
      <c r="G132" s="192">
        <v>130</v>
      </c>
      <c r="H132" s="192"/>
    </row>
    <row r="133" spans="1:8" s="193" customFormat="1" ht="15.75" customHeight="1">
      <c r="A133" s="190">
        <v>9</v>
      </c>
      <c r="B133" s="200" t="s">
        <v>308</v>
      </c>
      <c r="C133" s="200"/>
      <c r="D133" s="200"/>
      <c r="E133" s="192">
        <f t="shared" si="7"/>
        <v>130</v>
      </c>
      <c r="F133" s="192"/>
      <c r="G133" s="192">
        <v>130</v>
      </c>
      <c r="H133" s="192"/>
    </row>
    <row r="134" spans="1:8" s="193" customFormat="1" ht="15.75" customHeight="1">
      <c r="A134" s="190">
        <v>10</v>
      </c>
      <c r="B134" s="200" t="s">
        <v>309</v>
      </c>
      <c r="C134" s="200"/>
      <c r="D134" s="200"/>
      <c r="E134" s="192">
        <f t="shared" si="7"/>
        <v>120</v>
      </c>
      <c r="F134" s="192"/>
      <c r="G134" s="192">
        <v>120</v>
      </c>
      <c r="H134" s="192"/>
    </row>
    <row r="135" spans="1:8" s="193" customFormat="1" ht="15.75" customHeight="1">
      <c r="A135" s="190">
        <v>11</v>
      </c>
      <c r="B135" s="200" t="s">
        <v>310</v>
      </c>
      <c r="C135" s="200"/>
      <c r="D135" s="200"/>
      <c r="E135" s="192">
        <f t="shared" si="7"/>
        <v>295</v>
      </c>
      <c r="F135" s="192"/>
      <c r="G135" s="192">
        <v>295</v>
      </c>
      <c r="H135" s="192"/>
    </row>
    <row r="136" spans="1:8" s="193" customFormat="1" ht="15.75" customHeight="1">
      <c r="A136" s="190">
        <v>12</v>
      </c>
      <c r="B136" s="200" t="s">
        <v>311</v>
      </c>
      <c r="C136" s="200"/>
      <c r="D136" s="200">
        <v>6</v>
      </c>
      <c r="E136" s="192">
        <f t="shared" si="7"/>
        <v>584</v>
      </c>
      <c r="F136" s="192">
        <v>249</v>
      </c>
      <c r="G136" s="192">
        <v>335</v>
      </c>
      <c r="H136" s="192">
        <v>5.6</v>
      </c>
    </row>
    <row r="137" spans="1:8" s="193" customFormat="1" ht="15.75" customHeight="1">
      <c r="A137" s="190">
        <v>13</v>
      </c>
      <c r="B137" s="200" t="s">
        <v>312</v>
      </c>
      <c r="C137" s="200"/>
      <c r="D137" s="200"/>
      <c r="E137" s="192">
        <f>F137+G137</f>
        <v>187</v>
      </c>
      <c r="F137" s="192"/>
      <c r="G137" s="192">
        <v>187</v>
      </c>
      <c r="H137" s="192"/>
    </row>
    <row r="138" spans="1:8" s="193" customFormat="1" ht="15.75" customHeight="1">
      <c r="A138" s="190">
        <v>14</v>
      </c>
      <c r="B138" s="200" t="s">
        <v>313</v>
      </c>
      <c r="C138" s="200"/>
      <c r="D138" s="200"/>
      <c r="E138" s="192">
        <f>F138+G138</f>
        <v>146</v>
      </c>
      <c r="F138" s="192"/>
      <c r="G138" s="192">
        <v>146</v>
      </c>
      <c r="H138" s="192"/>
    </row>
    <row r="139" spans="1:8" s="189" customFormat="1" ht="15.75" customHeight="1">
      <c r="A139" s="195" t="s">
        <v>314</v>
      </c>
      <c r="B139" s="205" t="s">
        <v>315</v>
      </c>
      <c r="C139" s="205"/>
      <c r="D139" s="205"/>
      <c r="E139" s="197">
        <f>SUM(E140:E142)</f>
        <v>12451</v>
      </c>
      <c r="F139" s="197">
        <f>SUM(F140:F142)</f>
        <v>0</v>
      </c>
      <c r="G139" s="197">
        <f>SUM(G140:G142)</f>
        <v>12451</v>
      </c>
      <c r="H139" s="197">
        <f>SUM(H140:H142)</f>
        <v>0</v>
      </c>
    </row>
    <row r="140" spans="1:8" s="193" customFormat="1" ht="15.75" customHeight="1">
      <c r="A140" s="190">
        <v>1</v>
      </c>
      <c r="B140" s="200" t="s">
        <v>316</v>
      </c>
      <c r="C140" s="200"/>
      <c r="D140" s="200"/>
      <c r="E140" s="192">
        <f>F140+G140</f>
        <v>10451</v>
      </c>
      <c r="F140" s="192"/>
      <c r="G140" s="192">
        <v>10451</v>
      </c>
      <c r="H140" s="192"/>
    </row>
    <row r="141" spans="1:8" s="194" customFormat="1" ht="15.75" customHeight="1">
      <c r="A141" s="190">
        <v>2</v>
      </c>
      <c r="B141" s="200" t="s">
        <v>317</v>
      </c>
      <c r="C141" s="200"/>
      <c r="D141" s="200"/>
      <c r="E141" s="192">
        <f>F141+G141</f>
        <v>1000</v>
      </c>
      <c r="F141" s="192"/>
      <c r="G141" s="192">
        <v>1000</v>
      </c>
      <c r="H141" s="192"/>
    </row>
    <row r="142" spans="1:8" s="194" customFormat="1" ht="15.75" customHeight="1">
      <c r="A142" s="207">
        <v>3</v>
      </c>
      <c r="B142" s="208" t="s">
        <v>318</v>
      </c>
      <c r="C142" s="208"/>
      <c r="D142" s="208"/>
      <c r="E142" s="209">
        <f>F142+G142</f>
        <v>1000</v>
      </c>
      <c r="F142" s="209"/>
      <c r="G142" s="209">
        <v>1000</v>
      </c>
      <c r="H142" s="209"/>
    </row>
    <row r="143" spans="1:8" s="213" customFormat="1" ht="15.75" customHeight="1">
      <c r="A143" s="210" t="s">
        <v>319</v>
      </c>
      <c r="B143" s="211" t="s">
        <v>320</v>
      </c>
      <c r="C143" s="211"/>
      <c r="D143" s="211"/>
      <c r="E143" s="212">
        <f>F143+G143</f>
        <v>3000</v>
      </c>
      <c r="F143" s="212"/>
      <c r="G143" s="212">
        <v>3000</v>
      </c>
      <c r="H143" s="212"/>
    </row>
    <row r="144" spans="1:8" s="217" customFormat="1" ht="30" customHeight="1">
      <c r="A144" s="214"/>
      <c r="B144" s="215" t="s">
        <v>321</v>
      </c>
      <c r="C144" s="215"/>
      <c r="D144" s="216">
        <f>D7+D10+D41+D52+D60+D65+D74+D76+D86+D139+D143</f>
        <v>5792</v>
      </c>
      <c r="E144" s="216">
        <f>E7+E10+E41+E52+E60+E65+E74+E76+E86+E139+E143</f>
        <v>438137.30000000005</v>
      </c>
      <c r="F144" s="216">
        <f>F7+F10+F41+F52+F60+F65+F74+F76+F86+F139+F143</f>
        <v>251227.80000000002</v>
      </c>
      <c r="G144" s="216">
        <f>G7+G10+G41+G52+G60+G65+G74+G76+G86+G139+G143</f>
        <v>186909.5</v>
      </c>
      <c r="H144" s="216">
        <f>H7+H10+H41+H52+H60+H65+H74+H76+H86+H139+H143</f>
        <v>7893.51</v>
      </c>
    </row>
    <row r="145" spans="1:8" s="173" customFormat="1" ht="15">
      <c r="A145" s="218"/>
      <c r="B145" s="174"/>
      <c r="C145" s="174"/>
      <c r="D145" s="175"/>
      <c r="E145" s="219"/>
      <c r="F145" s="219"/>
      <c r="G145" s="219"/>
      <c r="H145" s="219"/>
    </row>
    <row r="146" spans="1:8" s="173" customFormat="1" ht="15">
      <c r="A146" s="218"/>
      <c r="B146" s="174"/>
      <c r="C146" s="174"/>
      <c r="D146" s="175"/>
      <c r="E146" s="219"/>
      <c r="F146" s="219"/>
      <c r="G146" s="219"/>
      <c r="H146" s="219"/>
    </row>
    <row r="147" spans="1:8" s="173" customFormat="1" ht="15">
      <c r="A147" s="218"/>
      <c r="B147" s="174"/>
      <c r="C147" s="174"/>
      <c r="D147" s="175"/>
      <c r="E147" s="219"/>
      <c r="F147" s="219"/>
      <c r="G147" s="219"/>
      <c r="H147" s="219"/>
    </row>
    <row r="148" spans="1:8" s="173" customFormat="1" ht="15">
      <c r="A148" s="218"/>
      <c r="B148" s="174"/>
      <c r="C148" s="174"/>
      <c r="D148" s="175"/>
      <c r="E148" s="219"/>
      <c r="F148" s="219"/>
      <c r="G148" s="219"/>
      <c r="H148" s="219"/>
    </row>
    <row r="149" spans="1:8" s="173" customFormat="1" ht="15">
      <c r="A149" s="218"/>
      <c r="B149" s="174"/>
      <c r="C149" s="174"/>
      <c r="D149" s="175"/>
      <c r="E149" s="219"/>
      <c r="F149" s="219"/>
      <c r="G149" s="219"/>
      <c r="H149" s="219"/>
    </row>
    <row r="150" spans="1:8" s="173" customFormat="1" ht="15">
      <c r="A150" s="218"/>
      <c r="B150" s="174"/>
      <c r="C150" s="174"/>
      <c r="D150" s="175"/>
      <c r="E150" s="219"/>
      <c r="F150" s="219"/>
      <c r="G150" s="219"/>
      <c r="H150" s="219"/>
    </row>
    <row r="151" spans="1:8" s="173" customFormat="1" ht="15">
      <c r="A151" s="218"/>
      <c r="B151" s="174"/>
      <c r="C151" s="174"/>
      <c r="D151" s="175"/>
      <c r="E151" s="219"/>
      <c r="F151" s="219"/>
      <c r="G151" s="219"/>
      <c r="H151" s="219"/>
    </row>
    <row r="152" spans="1:8" s="173" customFormat="1" ht="15">
      <c r="A152" s="218"/>
      <c r="B152" s="174"/>
      <c r="C152" s="174"/>
      <c r="D152" s="175"/>
      <c r="E152" s="219"/>
      <c r="F152" s="219"/>
      <c r="G152" s="219"/>
      <c r="H152" s="219"/>
    </row>
    <row r="153" spans="1:8" s="173" customFormat="1" ht="15">
      <c r="A153" s="218"/>
      <c r="B153" s="174"/>
      <c r="C153" s="174"/>
      <c r="D153" s="175"/>
      <c r="E153" s="219"/>
      <c r="F153" s="219"/>
      <c r="G153" s="219"/>
      <c r="H153" s="219"/>
    </row>
    <row r="154" spans="1:8" s="173" customFormat="1" ht="15">
      <c r="A154" s="218"/>
      <c r="B154" s="174"/>
      <c r="C154" s="174"/>
      <c r="D154" s="175"/>
      <c r="E154" s="219"/>
      <c r="F154" s="219"/>
      <c r="G154" s="219"/>
      <c r="H154" s="219"/>
    </row>
    <row r="155" spans="1:8" s="173" customFormat="1" ht="15">
      <c r="A155" s="218"/>
      <c r="B155" s="174"/>
      <c r="C155" s="174"/>
      <c r="D155" s="175"/>
      <c r="E155" s="219"/>
      <c r="F155" s="219"/>
      <c r="G155" s="219"/>
      <c r="H155" s="219"/>
    </row>
    <row r="156" spans="1:8" s="173" customFormat="1" ht="15">
      <c r="A156" s="218"/>
      <c r="B156" s="174"/>
      <c r="C156" s="174"/>
      <c r="D156" s="175"/>
      <c r="E156" s="219"/>
      <c r="F156" s="219"/>
      <c r="G156" s="219"/>
      <c r="H156" s="219"/>
    </row>
    <row r="157" spans="1:8" s="173" customFormat="1" ht="15">
      <c r="A157" s="218"/>
      <c r="B157" s="174"/>
      <c r="C157" s="174"/>
      <c r="D157" s="175"/>
      <c r="E157" s="219"/>
      <c r="F157" s="219"/>
      <c r="G157" s="219"/>
      <c r="H157" s="219"/>
    </row>
    <row r="158" spans="1:8" s="173" customFormat="1" ht="15">
      <c r="A158" s="218"/>
      <c r="B158" s="174"/>
      <c r="C158" s="174"/>
      <c r="D158" s="175"/>
      <c r="E158" s="219"/>
      <c r="F158" s="219"/>
      <c r="G158" s="219"/>
      <c r="H158" s="219"/>
    </row>
    <row r="159" spans="1:8" s="173" customFormat="1" ht="15">
      <c r="A159" s="218"/>
      <c r="B159" s="174"/>
      <c r="C159" s="174"/>
      <c r="D159" s="175"/>
      <c r="E159" s="219"/>
      <c r="F159" s="219"/>
      <c r="G159" s="219"/>
      <c r="H159" s="219"/>
    </row>
    <row r="160" spans="1:8" s="173" customFormat="1" ht="15">
      <c r="A160" s="218"/>
      <c r="B160" s="174"/>
      <c r="C160" s="174"/>
      <c r="D160" s="175"/>
      <c r="E160" s="219"/>
      <c r="F160" s="219"/>
      <c r="G160" s="219"/>
      <c r="H160" s="219"/>
    </row>
    <row r="161" spans="2:8" s="173" customFormat="1" ht="15">
      <c r="B161" s="174"/>
      <c r="C161" s="174"/>
      <c r="D161" s="175"/>
      <c r="E161" s="219"/>
      <c r="F161" s="219"/>
      <c r="G161" s="219"/>
      <c r="H161" s="219"/>
    </row>
    <row r="162" spans="2:8" s="173" customFormat="1" ht="15">
      <c r="B162" s="174"/>
      <c r="C162" s="174"/>
      <c r="D162" s="175"/>
      <c r="E162" s="219"/>
      <c r="F162" s="219"/>
      <c r="G162" s="219"/>
      <c r="H162" s="219"/>
    </row>
    <row r="163" spans="2:8" s="173" customFormat="1" ht="15">
      <c r="B163" s="174"/>
      <c r="C163" s="174"/>
      <c r="D163" s="175"/>
      <c r="E163" s="219"/>
      <c r="F163" s="219"/>
      <c r="G163" s="219"/>
      <c r="H163" s="219"/>
    </row>
    <row r="164" spans="2:8" s="173" customFormat="1" ht="15">
      <c r="B164" s="174"/>
      <c r="C164" s="174"/>
      <c r="D164" s="175"/>
      <c r="E164" s="219"/>
      <c r="F164" s="219"/>
      <c r="G164" s="219"/>
      <c r="H164" s="219"/>
    </row>
    <row r="165" spans="2:8" s="173" customFormat="1" ht="15">
      <c r="B165" s="174"/>
      <c r="C165" s="174"/>
      <c r="D165" s="175"/>
      <c r="E165" s="219"/>
      <c r="F165" s="219"/>
      <c r="G165" s="219"/>
      <c r="H165" s="219"/>
    </row>
    <row r="166" spans="5:8" ht="12.75">
      <c r="E166" s="222"/>
      <c r="F166" s="222"/>
      <c r="G166" s="222"/>
      <c r="H166" s="222"/>
    </row>
    <row r="167" spans="5:8" ht="12.75">
      <c r="E167" s="222"/>
      <c r="F167" s="222"/>
      <c r="G167" s="222"/>
      <c r="H167" s="222"/>
    </row>
    <row r="168" spans="5:8" ht="12.75">
      <c r="E168" s="222"/>
      <c r="F168" s="222"/>
      <c r="G168" s="222"/>
      <c r="H168" s="222"/>
    </row>
  </sheetData>
  <mergeCells count="10">
    <mergeCell ref="A1:H1"/>
    <mergeCell ref="A2:H2"/>
    <mergeCell ref="G4:H4"/>
    <mergeCell ref="A3:H3"/>
    <mergeCell ref="H5:H6"/>
    <mergeCell ref="D5:D6"/>
    <mergeCell ref="A5:A6"/>
    <mergeCell ref="B5:B6"/>
    <mergeCell ref="E5:E6"/>
    <mergeCell ref="F5:G5"/>
  </mergeCells>
  <printOptions horizontalCentered="1"/>
  <pageMargins left="0" right="0" top="0.5" bottom="0.75" header="0.5" footer="0.5"/>
  <pageSetup horizontalDpi="600" verticalDpi="600" orientation="portrait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tai chinh</dc:creator>
  <cp:keywords/>
  <dc:description/>
  <cp:lastModifiedBy>UBND</cp:lastModifiedBy>
  <cp:lastPrinted>2008-03-08T03:12:57Z</cp:lastPrinted>
  <dcterms:created xsi:type="dcterms:W3CDTF">2007-06-05T03:08:47Z</dcterms:created>
  <dcterms:modified xsi:type="dcterms:W3CDTF">2004-12-16T03:25:22Z</dcterms:modified>
  <cp:category/>
  <cp:version/>
  <cp:contentType/>
  <cp:contentStatus/>
</cp:coreProperties>
</file>